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ropbox\UFU\Coordenação\Horários\"/>
    </mc:Choice>
  </mc:AlternateContent>
  <xr:revisionPtr revIDLastSave="0" documentId="13_ncr:20001_{32780396-3411-45EA-BA30-E797EA506E71}" xr6:coauthVersionLast="47" xr6:coauthVersionMax="47" xr10:uidLastSave="{00000000-0000-0000-0000-000000000000}"/>
  <bookViews>
    <workbookView xWindow="555" yWindow="1425" windowWidth="16410" windowHeight="13080" xr2:uid="{00000000-000D-0000-FFFF-FFFF00000000}"/>
  </bookViews>
  <sheets>
    <sheet name="Instruções" sheetId="1" r:id="rId1"/>
    <sheet name="1 Fluxograma" sheetId="2" r:id="rId2"/>
    <sheet name="2 Consulta" sheetId="3" r:id="rId3"/>
    <sheet name="3 Horários e seleção" sheetId="4" r:id="rId4"/>
    <sheet name="4 Meu horário" sheetId="5" r:id="rId5"/>
    <sheet name="Base de dados" sheetId="6" state="hidden" r:id="rId6"/>
    <sheet name="Base horários" sheetId="7" state="hidden" r:id="rId7"/>
  </sheets>
  <definedNames>
    <definedName name="_xlnm.Print_Area" localSheetId="4">'4 Meu horário'!$A$1:$F$17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B23" i="1"/>
  <c r="H16" i="1"/>
  <c r="B16" i="1"/>
  <c r="J235" i="7"/>
  <c r="J234" i="7"/>
  <c r="J233" i="7"/>
  <c r="J232" i="7"/>
  <c r="J231" i="7"/>
  <c r="J230" i="7"/>
  <c r="J229" i="7"/>
  <c r="J228" i="7"/>
  <c r="J227" i="7"/>
  <c r="J226" i="7"/>
  <c r="J225" i="7"/>
  <c r="J224" i="7"/>
  <c r="J223" i="7"/>
  <c r="J222" i="7"/>
  <c r="J221" i="7"/>
  <c r="J220" i="7"/>
  <c r="J219" i="7"/>
  <c r="J218" i="7"/>
  <c r="J217" i="7"/>
  <c r="J216" i="7"/>
  <c r="J215" i="7"/>
  <c r="J214" i="7"/>
  <c r="J213" i="7"/>
  <c r="J212" i="7"/>
  <c r="J211" i="7"/>
  <c r="J210" i="7"/>
  <c r="J209" i="7"/>
  <c r="J208" i="7"/>
  <c r="J207" i="7"/>
  <c r="J206" i="7"/>
  <c r="J205" i="7"/>
  <c r="J204" i="7"/>
  <c r="J203" i="7"/>
  <c r="J202" i="7"/>
  <c r="J201" i="7"/>
  <c r="J200" i="7"/>
  <c r="J199" i="7"/>
  <c r="J198" i="7"/>
  <c r="J197" i="7"/>
  <c r="J196" i="7"/>
  <c r="J195" i="7"/>
  <c r="J194" i="7"/>
  <c r="J193" i="7"/>
  <c r="J192" i="7"/>
  <c r="J191" i="7"/>
  <c r="J190" i="7"/>
  <c r="J189" i="7"/>
  <c r="J188" i="7"/>
  <c r="J187" i="7"/>
  <c r="J186" i="7"/>
  <c r="J185" i="7"/>
  <c r="J184" i="7"/>
  <c r="J183" i="7"/>
  <c r="J182" i="7"/>
  <c r="J181" i="7"/>
  <c r="J180" i="7"/>
  <c r="J179" i="7"/>
  <c r="J178" i="7"/>
  <c r="J177" i="7"/>
  <c r="J176" i="7"/>
  <c r="J175" i="7"/>
  <c r="J174" i="7"/>
  <c r="J173" i="7"/>
  <c r="J172" i="7"/>
  <c r="J171" i="7"/>
  <c r="J170" i="7"/>
  <c r="J169" i="7"/>
  <c r="J168" i="7"/>
  <c r="J167" i="7"/>
  <c r="J166" i="7"/>
  <c r="J165" i="7"/>
  <c r="J164" i="7"/>
  <c r="J163" i="7"/>
  <c r="J162" i="7"/>
  <c r="J161" i="7"/>
  <c r="J160" i="7"/>
  <c r="J159" i="7"/>
  <c r="J158" i="7"/>
  <c r="J157" i="7"/>
  <c r="J156" i="7"/>
  <c r="J155" i="7"/>
  <c r="J154" i="7"/>
  <c r="J153" i="7"/>
  <c r="J152" i="7"/>
  <c r="J151" i="7"/>
  <c r="J150" i="7"/>
  <c r="J149" i="7"/>
  <c r="J148" i="7"/>
  <c r="J147" i="7"/>
  <c r="J146" i="7"/>
  <c r="J145" i="7"/>
  <c r="J144" i="7"/>
  <c r="J143" i="7"/>
  <c r="J142" i="7"/>
  <c r="J141" i="7"/>
  <c r="J140" i="7"/>
  <c r="J139" i="7"/>
  <c r="J138" i="7"/>
  <c r="J137" i="7"/>
  <c r="J136" i="7"/>
  <c r="J135" i="7"/>
  <c r="J134" i="7"/>
  <c r="J133" i="7"/>
  <c r="J132" i="7"/>
  <c r="J131" i="7"/>
  <c r="J130" i="7"/>
  <c r="J129" i="7"/>
  <c r="J128" i="7"/>
  <c r="J127" i="7"/>
  <c r="J126" i="7"/>
  <c r="J125" i="7"/>
  <c r="J124" i="7"/>
  <c r="J123" i="7"/>
  <c r="J122" i="7"/>
  <c r="J121" i="7"/>
  <c r="J120" i="7"/>
  <c r="J119" i="7"/>
  <c r="J118" i="7"/>
  <c r="J117" i="7"/>
  <c r="J116" i="7"/>
  <c r="J115" i="7"/>
  <c r="J114" i="7"/>
  <c r="J113" i="7"/>
  <c r="J112" i="7"/>
  <c r="J111" i="7"/>
  <c r="J110" i="7"/>
  <c r="J109" i="7"/>
  <c r="J108" i="7"/>
  <c r="J107" i="7"/>
  <c r="J106" i="7"/>
  <c r="J105" i="7"/>
  <c r="J104" i="7"/>
  <c r="J103" i="7"/>
  <c r="J102" i="7"/>
  <c r="J101" i="7"/>
  <c r="J100" i="7"/>
  <c r="J99" i="7"/>
  <c r="J98" i="7"/>
  <c r="J97" i="7"/>
  <c r="J96" i="7"/>
  <c r="J95" i="7"/>
  <c r="J94" i="7"/>
  <c r="J93" i="7"/>
  <c r="J92" i="7"/>
  <c r="J91" i="7"/>
  <c r="J90" i="7"/>
  <c r="J89" i="7"/>
  <c r="J88" i="7"/>
  <c r="J87" i="7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F17" i="5"/>
  <c r="E17" i="5"/>
  <c r="D17" i="5"/>
  <c r="C17" i="5"/>
  <c r="B17" i="5"/>
  <c r="F16" i="5"/>
  <c r="E16" i="5"/>
  <c r="D16" i="5"/>
  <c r="C16" i="5"/>
  <c r="B16" i="5"/>
  <c r="F15" i="5"/>
  <c r="E15" i="5"/>
  <c r="D15" i="5"/>
  <c r="C15" i="5"/>
  <c r="B15" i="5"/>
  <c r="F14" i="5"/>
  <c r="E14" i="5"/>
  <c r="D14" i="5"/>
  <c r="C14" i="5"/>
  <c r="B14" i="5"/>
  <c r="F13" i="5"/>
  <c r="E13" i="5"/>
  <c r="D13" i="5"/>
  <c r="C13" i="5"/>
  <c r="B13" i="5"/>
  <c r="F12" i="5"/>
  <c r="E12" i="5"/>
  <c r="D12" i="5"/>
  <c r="C12" i="5"/>
  <c r="B12" i="5"/>
  <c r="F11" i="5"/>
  <c r="E11" i="5"/>
  <c r="D11" i="5"/>
  <c r="C11" i="5"/>
  <c r="B11" i="5"/>
  <c r="F10" i="5"/>
  <c r="E10" i="5"/>
  <c r="D10" i="5"/>
  <c r="C10" i="5"/>
  <c r="B10" i="5"/>
  <c r="F9" i="5"/>
  <c r="E9" i="5"/>
  <c r="D9" i="5"/>
  <c r="C9" i="5"/>
  <c r="B9" i="5"/>
  <c r="F8" i="5"/>
  <c r="E8" i="5"/>
  <c r="D8" i="5"/>
  <c r="C8" i="5"/>
  <c r="B8" i="5"/>
  <c r="F7" i="5"/>
  <c r="E7" i="5"/>
  <c r="D7" i="5"/>
  <c r="C7" i="5"/>
  <c r="B7" i="5"/>
  <c r="F6" i="5"/>
  <c r="E6" i="5"/>
  <c r="D6" i="5"/>
  <c r="C6" i="5"/>
  <c r="B6" i="5"/>
  <c r="F93" i="3"/>
  <c r="D93" i="3" a="1"/>
  <c r="D93" i="3" s="1"/>
  <c r="A93" i="3"/>
  <c r="F92" i="3"/>
  <c r="A92" i="3"/>
  <c r="F91" i="3"/>
  <c r="B91" i="3" a="1"/>
  <c r="B91" i="3" s="1"/>
  <c r="A91" i="3"/>
  <c r="F90" i="3"/>
  <c r="A90" i="3"/>
  <c r="F89" i="3"/>
  <c r="E89" i="3" a="1"/>
  <c r="E89" i="3"/>
  <c r="A89" i="3"/>
  <c r="F88" i="3"/>
  <c r="E88" i="3" a="1"/>
  <c r="E88" i="3" s="1"/>
  <c r="D88" i="3" a="1"/>
  <c r="D88" i="3" s="1"/>
  <c r="A88" i="3"/>
  <c r="F87" i="3"/>
  <c r="E87" i="3" a="1"/>
  <c r="E87" i="3" s="1"/>
  <c r="D87" i="3" a="1"/>
  <c r="D87" i="3"/>
  <c r="C87" i="3" a="1"/>
  <c r="C87" i="3" s="1"/>
  <c r="A87" i="3"/>
  <c r="F86" i="3"/>
  <c r="E86" i="3"/>
  <c r="D86" i="3" a="1"/>
  <c r="D86" i="3" s="1"/>
  <c r="C86" i="3" a="1"/>
  <c r="C86" i="3"/>
  <c r="A86" i="3"/>
  <c r="F85" i="3"/>
  <c r="D85" i="3" a="1"/>
  <c r="D85" i="3" s="1"/>
  <c r="A85" i="3"/>
  <c r="F84" i="3"/>
  <c r="C84" i="3" a="1"/>
  <c r="C84" i="3"/>
  <c r="B84" i="3" a="1"/>
  <c r="B84" i="3"/>
  <c r="A84" i="3"/>
  <c r="F83" i="3"/>
  <c r="E83" i="3" a="1"/>
  <c r="E83" i="3" s="1"/>
  <c r="C83" i="3" a="1"/>
  <c r="C83" i="3"/>
  <c r="B83" i="3" a="1"/>
  <c r="B83" i="3" s="1"/>
  <c r="A83" i="3"/>
  <c r="F82" i="3"/>
  <c r="A82" i="3"/>
  <c r="F81" i="3"/>
  <c r="A81" i="3"/>
  <c r="F80" i="3"/>
  <c r="A80" i="3"/>
  <c r="A79" i="3"/>
  <c r="C20" i="3"/>
  <c r="E93" i="3" s="1" a="1"/>
  <c r="E93" i="3" s="1"/>
  <c r="C19" i="3"/>
  <c r="D92" i="3" s="1" a="1"/>
  <c r="D92" i="3" s="1"/>
  <c r="C18" i="3"/>
  <c r="C17" i="3"/>
  <c r="C16" i="3"/>
  <c r="C89" i="3" s="1" a="1"/>
  <c r="C89" i="3" s="1"/>
  <c r="C15" i="3"/>
  <c r="B88" i="3" s="1" a="1"/>
  <c r="B88" i="3" s="1"/>
  <c r="C14" i="3"/>
  <c r="B87" i="3" s="1" a="1"/>
  <c r="B87" i="3" s="1"/>
  <c r="C13" i="3"/>
  <c r="E86" i="3" s="1" a="1"/>
  <c r="C12" i="3"/>
  <c r="E85" i="3" s="1" a="1"/>
  <c r="E85" i="3" s="1"/>
  <c r="C11" i="3"/>
  <c r="E84" i="3" s="1" a="1"/>
  <c r="E84" i="3" s="1"/>
  <c r="C10" i="3"/>
  <c r="D83" i="3" s="1" a="1"/>
  <c r="D83" i="3" s="1"/>
  <c r="C9" i="3"/>
  <c r="B82" i="3" s="1" a="1"/>
  <c r="B82" i="3" s="1"/>
  <c r="C8" i="3"/>
  <c r="C7" i="3"/>
  <c r="D6" i="3"/>
  <c r="C6" i="3"/>
  <c r="E79" i="3" s="1" a="1"/>
  <c r="E79" i="3" s="1"/>
  <c r="E63" i="5" l="1" a="1"/>
  <c r="E63" i="5" s="1"/>
  <c r="E60" i="5" a="1"/>
  <c r="E60" i="5" s="1"/>
  <c r="B30" i="5" a="1"/>
  <c r="B30" i="5" s="1"/>
  <c r="C32" i="5" a="1"/>
  <c r="C32" i="5" s="1"/>
  <c r="D81" i="5" a="1"/>
  <c r="D81" i="5" s="1"/>
  <c r="D34" i="5" a="1"/>
  <c r="D34" i="5" s="1"/>
  <c r="E36" i="5" a="1"/>
  <c r="E36" i="5" s="1"/>
  <c r="E23" i="5" a="1"/>
  <c r="E23" i="5" s="1"/>
  <c r="C79" i="5" a="1"/>
  <c r="C79" i="5" s="1"/>
  <c r="D49" i="5" a="1"/>
  <c r="D49" i="5" s="1"/>
  <c r="D69" i="5" a="1"/>
  <c r="D69" i="5" s="1"/>
  <c r="A28" i="5" a="1"/>
  <c r="A28" i="5" s="1"/>
  <c r="A52" i="5" a="1"/>
  <c r="A52" i="5" s="1"/>
  <c r="F52" i="5" s="1"/>
  <c r="B54" i="5" a="1"/>
  <c r="B54" i="5" s="1"/>
  <c r="C56" i="5" a="1"/>
  <c r="C56" i="5" s="1"/>
  <c r="D58" i="5" a="1"/>
  <c r="D58" i="5" s="1"/>
  <c r="P27" i="3"/>
  <c r="P79" i="3"/>
  <c r="P75" i="3"/>
  <c r="P51" i="3"/>
  <c r="C79" i="3" a="1"/>
  <c r="C79" i="3" s="1"/>
  <c r="D45" i="5" a="1"/>
  <c r="D45" i="5" s="1"/>
  <c r="D73" i="5" a="1"/>
  <c r="D73" i="5" s="1"/>
  <c r="C83" i="5" a="1"/>
  <c r="C83" i="5" s="1"/>
  <c r="B90" i="3" a="1"/>
  <c r="B90" i="3" s="1"/>
  <c r="D90" i="3" a="1"/>
  <c r="D90" i="3" s="1"/>
  <c r="P40" i="3"/>
  <c r="P64" i="3"/>
  <c r="P81" i="3"/>
  <c r="C85" i="3" a="1"/>
  <c r="C85" i="3" s="1"/>
  <c r="A27" i="5" a="1"/>
  <c r="A27" i="5" s="1"/>
  <c r="B29" i="5" a="1"/>
  <c r="B29" i="5" s="1"/>
  <c r="C31" i="5" a="1"/>
  <c r="C31" i="5" s="1"/>
  <c r="D33" i="5" a="1"/>
  <c r="D33" i="5" s="1"/>
  <c r="E35" i="5" a="1"/>
  <c r="E35" i="5" s="1"/>
  <c r="A51" i="5" a="1"/>
  <c r="A51" i="5" s="1"/>
  <c r="F51" i="5" s="1"/>
  <c r="B53" i="5" a="1"/>
  <c r="B53" i="5" s="1"/>
  <c r="C55" i="5" a="1"/>
  <c r="C55" i="5" s="1"/>
  <c r="D57" i="5" a="1"/>
  <c r="D57" i="5" s="1"/>
  <c r="E59" i="5" a="1"/>
  <c r="E59" i="5" s="1"/>
  <c r="B65" i="5" a="1"/>
  <c r="B65" i="5" s="1"/>
  <c r="C68" i="5" a="1"/>
  <c r="C68" i="5" s="1"/>
  <c r="B78" i="5" a="1"/>
  <c r="B78" i="5" s="1"/>
  <c r="E84" i="5" a="1"/>
  <c r="E84" i="5" s="1"/>
  <c r="A88" i="5" a="1"/>
  <c r="A88" i="5" s="1"/>
  <c r="F88" i="5" s="1"/>
  <c r="P52" i="3"/>
  <c r="B41" i="5" a="1"/>
  <c r="B41" i="5" s="1"/>
  <c r="C91" i="3" a="1"/>
  <c r="C91" i="3" s="1"/>
  <c r="E91" i="3" a="1"/>
  <c r="E91" i="3" s="1"/>
  <c r="P41" i="3"/>
  <c r="P65" i="3"/>
  <c r="B93" i="3" a="1"/>
  <c r="B93" i="3" s="1"/>
  <c r="A23" i="5" a="1"/>
  <c r="A23" i="5" s="1"/>
  <c r="B25" i="5" a="1"/>
  <c r="B25" i="5" s="1"/>
  <c r="C27" i="5" a="1"/>
  <c r="C27" i="5" s="1"/>
  <c r="D29" i="5" a="1"/>
  <c r="D29" i="5" s="1"/>
  <c r="E31" i="5" a="1"/>
  <c r="E31" i="5" s="1"/>
  <c r="A47" i="5" a="1"/>
  <c r="A47" i="5" s="1"/>
  <c r="F47" i="5" s="1"/>
  <c r="B49" i="5" a="1"/>
  <c r="B49" i="5" s="1"/>
  <c r="C51" i="5" a="1"/>
  <c r="C51" i="5" s="1"/>
  <c r="D53" i="5" a="1"/>
  <c r="D53" i="5" s="1"/>
  <c r="E55" i="5" a="1"/>
  <c r="E55" i="5" s="1"/>
  <c r="E62" i="5" a="1"/>
  <c r="E62" i="5" s="1"/>
  <c r="E71" i="5" a="1"/>
  <c r="E71" i="5" s="1"/>
  <c r="A75" i="5" a="1"/>
  <c r="A75" i="5" s="1"/>
  <c r="F75" i="5" s="1"/>
  <c r="E51" i="5" a="1"/>
  <c r="E51" i="5" s="1"/>
  <c r="A66" i="5" a="1"/>
  <c r="A66" i="5" s="1"/>
  <c r="F66" i="5" s="1"/>
  <c r="B69" i="5" a="1"/>
  <c r="B69" i="5" s="1"/>
  <c r="E75" i="5" a="1"/>
  <c r="E75" i="5" s="1"/>
  <c r="A79" i="5" a="1"/>
  <c r="A79" i="5" s="1"/>
  <c r="F79" i="5" s="1"/>
  <c r="D85" i="5" a="1"/>
  <c r="D85" i="5" s="1"/>
  <c r="D80" i="3" a="1"/>
  <c r="D80" i="3" s="1"/>
  <c r="C80" i="3" a="1"/>
  <c r="C80" i="3" s="1"/>
  <c r="B80" i="3" a="1"/>
  <c r="B80" i="3" s="1"/>
  <c r="E80" i="3" a="1"/>
  <c r="E80" i="3" s="1"/>
  <c r="P42" i="3"/>
  <c r="P66" i="3"/>
  <c r="C23" i="5" a="1"/>
  <c r="C23" i="5" s="1"/>
  <c r="E27" i="5" a="1"/>
  <c r="E27" i="5" s="1"/>
  <c r="A43" i="5" a="1"/>
  <c r="A43" i="5" s="1"/>
  <c r="F43" i="5" s="1"/>
  <c r="C47" i="5" a="1"/>
  <c r="C47" i="5" s="1"/>
  <c r="C81" i="3" a="1"/>
  <c r="C81" i="3" s="1"/>
  <c r="E81" i="3" a="1"/>
  <c r="E81" i="3" s="1"/>
  <c r="P43" i="3"/>
  <c r="P67" i="3"/>
  <c r="B89" i="3" a="1"/>
  <c r="B89" i="3" s="1"/>
  <c r="D91" i="3" a="1"/>
  <c r="D91" i="3" s="1"/>
  <c r="C93" i="3" a="1"/>
  <c r="C93" i="3" s="1"/>
  <c r="A30" i="5" a="1"/>
  <c r="A30" i="5" s="1"/>
  <c r="B32" i="5" a="1"/>
  <c r="B32" i="5" s="1"/>
  <c r="C34" i="5" a="1"/>
  <c r="C34" i="5" s="1"/>
  <c r="D36" i="5" a="1"/>
  <c r="D36" i="5" s="1"/>
  <c r="E38" i="5" a="1"/>
  <c r="E38" i="5" s="1"/>
  <c r="A54" i="5" a="1"/>
  <c r="A54" i="5" s="1"/>
  <c r="F54" i="5" s="1"/>
  <c r="B56" i="5" a="1"/>
  <c r="B56" i="5" s="1"/>
  <c r="C58" i="5" a="1"/>
  <c r="C58" i="5" s="1"/>
  <c r="D60" i="5" a="1"/>
  <c r="D60" i="5" s="1"/>
  <c r="A63" i="5" a="1"/>
  <c r="A63" i="5" s="1"/>
  <c r="F63" i="5" s="1"/>
  <c r="B66" i="5" a="1"/>
  <c r="B66" i="5" s="1"/>
  <c r="D72" i="5" a="1"/>
  <c r="D72" i="5" s="1"/>
  <c r="C82" i="5" a="1"/>
  <c r="C82" i="5" s="1"/>
  <c r="D88" i="5" a="1"/>
  <c r="D88" i="5" s="1"/>
  <c r="C86" i="5" a="1"/>
  <c r="C86" i="5" s="1"/>
  <c r="B84" i="5" a="1"/>
  <c r="B84" i="5" s="1"/>
  <c r="A82" i="5" a="1"/>
  <c r="A82" i="5" s="1"/>
  <c r="F82" i="5" s="1"/>
  <c r="E78" i="5" a="1"/>
  <c r="E78" i="5" s="1"/>
  <c r="D76" i="5" a="1"/>
  <c r="D76" i="5" s="1"/>
  <c r="C74" i="5" a="1"/>
  <c r="C74" i="5" s="1"/>
  <c r="B72" i="5" a="1"/>
  <c r="B72" i="5" s="1"/>
  <c r="A70" i="5" a="1"/>
  <c r="A70" i="5" s="1"/>
  <c r="F70" i="5" s="1"/>
  <c r="E66" i="5" a="1"/>
  <c r="E66" i="5" s="1"/>
  <c r="D64" i="5" a="1"/>
  <c r="D64" i="5" s="1"/>
  <c r="C62" i="5" a="1"/>
  <c r="C62" i="5" s="1"/>
  <c r="B60" i="5" a="1"/>
  <c r="B60" i="5" s="1"/>
  <c r="A58" i="5" a="1"/>
  <c r="A58" i="5" s="1"/>
  <c r="F58" i="5" s="1"/>
  <c r="E54" i="5" a="1"/>
  <c r="E54" i="5" s="1"/>
  <c r="D52" i="5" a="1"/>
  <c r="D52" i="5" s="1"/>
  <c r="C50" i="5" a="1"/>
  <c r="C50" i="5" s="1"/>
  <c r="B48" i="5" a="1"/>
  <c r="B48" i="5" s="1"/>
  <c r="A46" i="5" a="1"/>
  <c r="A46" i="5" s="1"/>
  <c r="F46" i="5" s="1"/>
  <c r="E42" i="5" a="1"/>
  <c r="E42" i="5" s="1"/>
  <c r="D40" i="5" a="1"/>
  <c r="D40" i="5" s="1"/>
  <c r="C38" i="5" a="1"/>
  <c r="C38" i="5" s="1"/>
  <c r="B36" i="5" a="1"/>
  <c r="B36" i="5" s="1"/>
  <c r="A34" i="5" a="1"/>
  <c r="A34" i="5" s="1"/>
  <c r="F34" i="5" s="1"/>
  <c r="E30" i="5" a="1"/>
  <c r="E30" i="5" s="1"/>
  <c r="D28" i="5" a="1"/>
  <c r="D28" i="5" s="1"/>
  <c r="C26" i="5" a="1"/>
  <c r="C26" i="5" s="1"/>
  <c r="B24" i="5" a="1"/>
  <c r="B24" i="5" s="1"/>
  <c r="A22" i="5" a="1"/>
  <c r="A22" i="5" s="1"/>
  <c r="C87" i="5" a="1"/>
  <c r="C87" i="5" s="1"/>
  <c r="A83" i="5" a="1"/>
  <c r="A83" i="5" s="1"/>
  <c r="F83" i="5" s="1"/>
  <c r="E79" i="5" a="1"/>
  <c r="E79" i="5" s="1"/>
  <c r="C75" i="5" a="1"/>
  <c r="C75" i="5" s="1"/>
  <c r="C88" i="5" a="1"/>
  <c r="C88" i="5" s="1"/>
  <c r="B86" i="5" a="1"/>
  <c r="B86" i="5" s="1"/>
  <c r="A84" i="5" a="1"/>
  <c r="A84" i="5" s="1"/>
  <c r="F84" i="5" s="1"/>
  <c r="E80" i="5" a="1"/>
  <c r="E80" i="5" s="1"/>
  <c r="D78" i="5" a="1"/>
  <c r="D78" i="5" s="1"/>
  <c r="C76" i="5" a="1"/>
  <c r="C76" i="5" s="1"/>
  <c r="B74" i="5" a="1"/>
  <c r="B74" i="5" s="1"/>
  <c r="A72" i="5" a="1"/>
  <c r="A72" i="5" s="1"/>
  <c r="F72" i="5" s="1"/>
  <c r="E68" i="5" a="1"/>
  <c r="E68" i="5" s="1"/>
  <c r="D66" i="5" a="1"/>
  <c r="D66" i="5" s="1"/>
  <c r="C64" i="5" a="1"/>
  <c r="C64" i="5" s="1"/>
  <c r="B62" i="5" a="1"/>
  <c r="B62" i="5" s="1"/>
  <c r="A60" i="5" a="1"/>
  <c r="A60" i="5" s="1"/>
  <c r="F60" i="5" s="1"/>
  <c r="E56" i="5" a="1"/>
  <c r="E56" i="5" s="1"/>
  <c r="D54" i="5" a="1"/>
  <c r="D54" i="5" s="1"/>
  <c r="C52" i="5" a="1"/>
  <c r="C52" i="5" s="1"/>
  <c r="B50" i="5" a="1"/>
  <c r="B50" i="5" s="1"/>
  <c r="A48" i="5" a="1"/>
  <c r="A48" i="5" s="1"/>
  <c r="F48" i="5" s="1"/>
  <c r="E44" i="5" a="1"/>
  <c r="E44" i="5" s="1"/>
  <c r="D42" i="5" a="1"/>
  <c r="D42" i="5" s="1"/>
  <c r="C40" i="5" a="1"/>
  <c r="C40" i="5" s="1"/>
  <c r="B38" i="5" a="1"/>
  <c r="B38" i="5" s="1"/>
  <c r="A36" i="5" a="1"/>
  <c r="A36" i="5" s="1"/>
  <c r="F36" i="5" s="1"/>
  <c r="E32" i="5" a="1"/>
  <c r="E32" i="5" s="1"/>
  <c r="D30" i="5" a="1"/>
  <c r="D30" i="5" s="1"/>
  <c r="C28" i="5" a="1"/>
  <c r="C28" i="5" s="1"/>
  <c r="B26" i="5" a="1"/>
  <c r="B26" i="5" s="1"/>
  <c r="A24" i="5" a="1"/>
  <c r="A24" i="5" s="1"/>
  <c r="B87" i="5" a="1"/>
  <c r="B87" i="5" s="1"/>
  <c r="A85" i="5" a="1"/>
  <c r="A85" i="5" s="1"/>
  <c r="F85" i="5" s="1"/>
  <c r="E81" i="5" a="1"/>
  <c r="E81" i="5" s="1"/>
  <c r="D79" i="5" a="1"/>
  <c r="D79" i="5" s="1"/>
  <c r="C77" i="5" a="1"/>
  <c r="C77" i="5" s="1"/>
  <c r="B75" i="5" a="1"/>
  <c r="B75" i="5" s="1"/>
  <c r="A73" i="5" a="1"/>
  <c r="A73" i="5" s="1"/>
  <c r="F73" i="5" s="1"/>
  <c r="E69" i="5" a="1"/>
  <c r="E69" i="5" s="1"/>
  <c r="D67" i="5" a="1"/>
  <c r="D67" i="5" s="1"/>
  <c r="C65" i="5" a="1"/>
  <c r="C65" i="5" s="1"/>
  <c r="B63" i="5" a="1"/>
  <c r="B63" i="5" s="1"/>
  <c r="A61" i="5" a="1"/>
  <c r="A61" i="5" s="1"/>
  <c r="F61" i="5" s="1"/>
  <c r="E57" i="5" a="1"/>
  <c r="E57" i="5" s="1"/>
  <c r="D55" i="5" a="1"/>
  <c r="D55" i="5" s="1"/>
  <c r="C53" i="5" a="1"/>
  <c r="C53" i="5" s="1"/>
  <c r="B51" i="5" a="1"/>
  <c r="B51" i="5" s="1"/>
  <c r="A49" i="5" a="1"/>
  <c r="A49" i="5" s="1"/>
  <c r="F49" i="5" s="1"/>
  <c r="E45" i="5" a="1"/>
  <c r="E45" i="5" s="1"/>
  <c r="D43" i="5" a="1"/>
  <c r="D43" i="5" s="1"/>
  <c r="C41" i="5" a="1"/>
  <c r="C41" i="5" s="1"/>
  <c r="B39" i="5" a="1"/>
  <c r="B39" i="5" s="1"/>
  <c r="A37" i="5" a="1"/>
  <c r="A37" i="5" s="1"/>
  <c r="F37" i="5" s="1"/>
  <c r="E33" i="5" a="1"/>
  <c r="E33" i="5" s="1"/>
  <c r="D31" i="5" a="1"/>
  <c r="D31" i="5" s="1"/>
  <c r="C29" i="5" a="1"/>
  <c r="C29" i="5" s="1"/>
  <c r="B27" i="5" a="1"/>
  <c r="B27" i="5" s="1"/>
  <c r="A25" i="5" a="1"/>
  <c r="A25" i="5" s="1"/>
  <c r="B88" i="5" a="1"/>
  <c r="B88" i="5" s="1"/>
  <c r="A86" i="5" a="1"/>
  <c r="A86" i="5" s="1"/>
  <c r="F86" i="5" s="1"/>
  <c r="E82" i="5" a="1"/>
  <c r="E82" i="5" s="1"/>
  <c r="D80" i="5" a="1"/>
  <c r="D80" i="5" s="1"/>
  <c r="C78" i="5" a="1"/>
  <c r="C78" i="5" s="1"/>
  <c r="B76" i="5" a="1"/>
  <c r="B76" i="5" s="1"/>
  <c r="A74" i="5" a="1"/>
  <c r="A74" i="5" s="1"/>
  <c r="F74" i="5" s="1"/>
  <c r="E70" i="5" a="1"/>
  <c r="E70" i="5" s="1"/>
  <c r="D68" i="5" a="1"/>
  <c r="D68" i="5" s="1"/>
  <c r="C66" i="5" a="1"/>
  <c r="C66" i="5" s="1"/>
  <c r="B64" i="5" a="1"/>
  <c r="B64" i="5" s="1"/>
  <c r="A62" i="5" a="1"/>
  <c r="A62" i="5" s="1"/>
  <c r="F62" i="5" s="1"/>
  <c r="E58" i="5" a="1"/>
  <c r="E58" i="5" s="1"/>
  <c r="D56" i="5" a="1"/>
  <c r="D56" i="5" s="1"/>
  <c r="C54" i="5" a="1"/>
  <c r="C54" i="5" s="1"/>
  <c r="B52" i="5" a="1"/>
  <c r="B52" i="5" s="1"/>
  <c r="A50" i="5" a="1"/>
  <c r="A50" i="5" s="1"/>
  <c r="F50" i="5" s="1"/>
  <c r="E46" i="5" a="1"/>
  <c r="E46" i="5" s="1"/>
  <c r="D44" i="5" a="1"/>
  <c r="D44" i="5" s="1"/>
  <c r="C42" i="5" a="1"/>
  <c r="C42" i="5" s="1"/>
  <c r="B40" i="5" a="1"/>
  <c r="B40" i="5" s="1"/>
  <c r="A38" i="5" a="1"/>
  <c r="A38" i="5" s="1"/>
  <c r="F38" i="5" s="1"/>
  <c r="E34" i="5" a="1"/>
  <c r="E34" i="5" s="1"/>
  <c r="D32" i="5" a="1"/>
  <c r="D32" i="5" s="1"/>
  <c r="C30" i="5" a="1"/>
  <c r="C30" i="5" s="1"/>
  <c r="B28" i="5" a="1"/>
  <c r="B28" i="5" s="1"/>
  <c r="A26" i="5" a="1"/>
  <c r="A26" i="5" s="1"/>
  <c r="E22" i="5" a="1"/>
  <c r="E22" i="5" s="1"/>
  <c r="E85" i="5" a="1"/>
  <c r="E85" i="5" s="1"/>
  <c r="D83" i="5" a="1"/>
  <c r="D83" i="5" s="1"/>
  <c r="C81" i="5" a="1"/>
  <c r="C81" i="5" s="1"/>
  <c r="B79" i="5" a="1"/>
  <c r="B79" i="5" s="1"/>
  <c r="A77" i="5" a="1"/>
  <c r="A77" i="5" s="1"/>
  <c r="F77" i="5" s="1"/>
  <c r="E73" i="5" a="1"/>
  <c r="E73" i="5" s="1"/>
  <c r="D71" i="5" a="1"/>
  <c r="D71" i="5" s="1"/>
  <c r="C69" i="5" a="1"/>
  <c r="C69" i="5" s="1"/>
  <c r="B67" i="5" a="1"/>
  <c r="B67" i="5" s="1"/>
  <c r="A65" i="5" a="1"/>
  <c r="A65" i="5" s="1"/>
  <c r="F65" i="5" s="1"/>
  <c r="E88" i="5" a="1"/>
  <c r="E88" i="5" s="1"/>
  <c r="D86" i="5" a="1"/>
  <c r="D86" i="5" s="1"/>
  <c r="C84" i="5" a="1"/>
  <c r="C84" i="5" s="1"/>
  <c r="B82" i="5" a="1"/>
  <c r="B82" i="5" s="1"/>
  <c r="A80" i="5" a="1"/>
  <c r="A80" i="5" s="1"/>
  <c r="F80" i="5" s="1"/>
  <c r="E76" i="5" a="1"/>
  <c r="E76" i="5" s="1"/>
  <c r="D74" i="5" a="1"/>
  <c r="D74" i="5" s="1"/>
  <c r="C72" i="5" a="1"/>
  <c r="C72" i="5" s="1"/>
  <c r="B70" i="5" a="1"/>
  <c r="B70" i="5" s="1"/>
  <c r="A68" i="5" a="1"/>
  <c r="A68" i="5" s="1"/>
  <c r="F68" i="5" s="1"/>
  <c r="E64" i="5" a="1"/>
  <c r="E64" i="5" s="1"/>
  <c r="D62" i="5" a="1"/>
  <c r="D62" i="5" s="1"/>
  <c r="C60" i="5" a="1"/>
  <c r="C60" i="5" s="1"/>
  <c r="B58" i="5" a="1"/>
  <c r="B58" i="5" s="1"/>
  <c r="A56" i="5" a="1"/>
  <c r="A56" i="5" s="1"/>
  <c r="F56" i="5" s="1"/>
  <c r="E52" i="5" a="1"/>
  <c r="E52" i="5" s="1"/>
  <c r="D50" i="5" a="1"/>
  <c r="D50" i="5" s="1"/>
  <c r="C48" i="5" a="1"/>
  <c r="C48" i="5" s="1"/>
  <c r="B46" i="5" a="1"/>
  <c r="B46" i="5" s="1"/>
  <c r="A44" i="5" a="1"/>
  <c r="A44" i="5" s="1"/>
  <c r="F44" i="5" s="1"/>
  <c r="E40" i="5" a="1"/>
  <c r="E40" i="5" s="1"/>
  <c r="D38" i="5" a="1"/>
  <c r="D38" i="5" s="1"/>
  <c r="C36" i="5" a="1"/>
  <c r="C36" i="5" s="1"/>
  <c r="B34" i="5" a="1"/>
  <c r="B34" i="5" s="1"/>
  <c r="A32" i="5" a="1"/>
  <c r="A32" i="5" s="1"/>
  <c r="F32" i="5" s="1"/>
  <c r="E28" i="5" a="1"/>
  <c r="E28" i="5" s="1"/>
  <c r="D26" i="5" a="1"/>
  <c r="D26" i="5" s="1"/>
  <c r="C24" i="5" a="1"/>
  <c r="C24" i="5" s="1"/>
  <c r="B22" i="5" a="1"/>
  <c r="B22" i="5" s="1"/>
  <c r="A71" i="5" a="1"/>
  <c r="A71" i="5" s="1"/>
  <c r="F71" i="5" s="1"/>
  <c r="D65" i="5" a="1"/>
  <c r="D65" i="5" s="1"/>
  <c r="B61" i="5" a="1"/>
  <c r="B61" i="5" s="1"/>
  <c r="D87" i="5" a="1"/>
  <c r="D87" i="5" s="1"/>
  <c r="C85" i="5" a="1"/>
  <c r="C85" i="5" s="1"/>
  <c r="B83" i="5" a="1"/>
  <c r="B83" i="5" s="1"/>
  <c r="A81" i="5" a="1"/>
  <c r="A81" i="5" s="1"/>
  <c r="F81" i="5" s="1"/>
  <c r="E77" i="5" a="1"/>
  <c r="E77" i="5" s="1"/>
  <c r="D75" i="5" a="1"/>
  <c r="D75" i="5" s="1"/>
  <c r="C73" i="5" a="1"/>
  <c r="C73" i="5" s="1"/>
  <c r="B71" i="5" a="1"/>
  <c r="B71" i="5" s="1"/>
  <c r="A69" i="5" a="1"/>
  <c r="A69" i="5" s="1"/>
  <c r="F69" i="5" s="1"/>
  <c r="E65" i="5" a="1"/>
  <c r="E65" i="5" s="1"/>
  <c r="D63" i="5" a="1"/>
  <c r="D63" i="5" s="1"/>
  <c r="C61" i="5" a="1"/>
  <c r="C61" i="5" s="1"/>
  <c r="B59" i="5" a="1"/>
  <c r="B59" i="5" s="1"/>
  <c r="A57" i="5" a="1"/>
  <c r="A57" i="5" s="1"/>
  <c r="F57" i="5" s="1"/>
  <c r="E53" i="5" a="1"/>
  <c r="E53" i="5" s="1"/>
  <c r="D51" i="5" a="1"/>
  <c r="D51" i="5" s="1"/>
  <c r="C49" i="5" a="1"/>
  <c r="C49" i="5" s="1"/>
  <c r="B47" i="5" a="1"/>
  <c r="B47" i="5" s="1"/>
  <c r="A45" i="5" a="1"/>
  <c r="A45" i="5" s="1"/>
  <c r="F45" i="5" s="1"/>
  <c r="E41" i="5" a="1"/>
  <c r="E41" i="5" s="1"/>
  <c r="D39" i="5" a="1"/>
  <c r="D39" i="5" s="1"/>
  <c r="C37" i="5" a="1"/>
  <c r="C37" i="5" s="1"/>
  <c r="B35" i="5" a="1"/>
  <c r="B35" i="5" s="1"/>
  <c r="A33" i="5" a="1"/>
  <c r="A33" i="5" s="1"/>
  <c r="F33" i="5" s="1"/>
  <c r="E29" i="5" a="1"/>
  <c r="E29" i="5" s="1"/>
  <c r="D27" i="5" a="1"/>
  <c r="D27" i="5" s="1"/>
  <c r="C25" i="5" a="1"/>
  <c r="C25" i="5" s="1"/>
  <c r="B23" i="5" a="1"/>
  <c r="B23" i="5" s="1"/>
  <c r="B85" i="5" a="1"/>
  <c r="B85" i="5" s="1"/>
  <c r="D77" i="5" a="1"/>
  <c r="D77" i="5" s="1"/>
  <c r="B73" i="5" a="1"/>
  <c r="B73" i="5" s="1"/>
  <c r="E67" i="5" a="1"/>
  <c r="E67" i="5" s="1"/>
  <c r="D25" i="5" a="1"/>
  <c r="D25" i="5" s="1"/>
  <c r="B45" i="5" a="1"/>
  <c r="B45" i="5" s="1"/>
  <c r="E82" i="3" a="1"/>
  <c r="E82" i="3" s="1"/>
  <c r="D82" i="3" a="1"/>
  <c r="D82" i="3" s="1"/>
  <c r="C82" i="3" a="1"/>
  <c r="C82" i="3" s="1"/>
  <c r="P23" i="3"/>
  <c r="P47" i="3"/>
  <c r="P71" i="3"/>
  <c r="P85" i="3"/>
  <c r="D89" i="3" a="1"/>
  <c r="D89" i="3" s="1"/>
  <c r="D23" i="5" a="1"/>
  <c r="D23" i="5" s="1"/>
  <c r="E25" i="5" a="1"/>
  <c r="E25" i="5" s="1"/>
  <c r="A41" i="5" a="1"/>
  <c r="A41" i="5" s="1"/>
  <c r="F41" i="5" s="1"/>
  <c r="B43" i="5" a="1"/>
  <c r="B43" i="5" s="1"/>
  <c r="C45" i="5" a="1"/>
  <c r="C45" i="5" s="1"/>
  <c r="D47" i="5" a="1"/>
  <c r="D47" i="5" s="1"/>
  <c r="E49" i="5" a="1"/>
  <c r="E49" i="5" s="1"/>
  <c r="C63" i="5" a="1"/>
  <c r="C63" i="5" s="1"/>
  <c r="E72" i="5" a="1"/>
  <c r="E72" i="5" s="1"/>
  <c r="A76" i="5" a="1"/>
  <c r="A76" i="5" s="1"/>
  <c r="F76" i="5" s="1"/>
  <c r="D82" i="5" a="1"/>
  <c r="D82" i="5" s="1"/>
  <c r="E47" i="5" a="1"/>
  <c r="E47" i="5" s="1"/>
  <c r="B92" i="3" a="1"/>
  <c r="B92" i="3" s="1"/>
  <c r="A35" i="5" a="1"/>
  <c r="A35" i="5" s="1"/>
  <c r="F35" i="5" s="1"/>
  <c r="B37" i="5" a="1"/>
  <c r="B37" i="5" s="1"/>
  <c r="C39" i="5" a="1"/>
  <c r="C39" i="5" s="1"/>
  <c r="D41" i="5" a="1"/>
  <c r="D41" i="5" s="1"/>
  <c r="E43" i="5" a="1"/>
  <c r="E43" i="5" s="1"/>
  <c r="A59" i="5" a="1"/>
  <c r="A59" i="5" s="1"/>
  <c r="F59" i="5" s="1"/>
  <c r="D61" i="5" a="1"/>
  <c r="D61" i="5" s="1"/>
  <c r="A64" i="5" a="1"/>
  <c r="A64" i="5" s="1"/>
  <c r="F64" i="5" s="1"/>
  <c r="C70" i="5" a="1"/>
  <c r="C70" i="5" s="1"/>
  <c r="B80" i="5" a="1"/>
  <c r="B80" i="5" s="1"/>
  <c r="E86" i="5" a="1"/>
  <c r="E86" i="5" s="1"/>
  <c r="P29" i="3"/>
  <c r="P53" i="3"/>
  <c r="P77" i="3"/>
  <c r="P30" i="3"/>
  <c r="P54" i="3"/>
  <c r="P78" i="3"/>
  <c r="A31" i="5" a="1"/>
  <c r="A31" i="5" s="1"/>
  <c r="F31" i="5" s="1"/>
  <c r="B33" i="5" a="1"/>
  <c r="B33" i="5" s="1"/>
  <c r="C35" i="5" a="1"/>
  <c r="C35" i="5" s="1"/>
  <c r="D37" i="5" a="1"/>
  <c r="D37" i="5" s="1"/>
  <c r="E39" i="5" a="1"/>
  <c r="E39" i="5" s="1"/>
  <c r="A55" i="5" a="1"/>
  <c r="A55" i="5" s="1"/>
  <c r="F55" i="5" s="1"/>
  <c r="B57" i="5" a="1"/>
  <c r="B57" i="5" s="1"/>
  <c r="C59" i="5" a="1"/>
  <c r="C59" i="5" s="1"/>
  <c r="D70" i="5" a="1"/>
  <c r="D70" i="5" s="1"/>
  <c r="C80" i="5" a="1"/>
  <c r="C80" i="5" s="1"/>
  <c r="P28" i="3"/>
  <c r="P80" i="3"/>
  <c r="C43" i="5" a="1"/>
  <c r="C43" i="5" s="1"/>
  <c r="A67" i="5" a="1"/>
  <c r="A67" i="5" s="1"/>
  <c r="F67" i="5" s="1"/>
  <c r="P31" i="3"/>
  <c r="P55" i="3"/>
  <c r="B81" i="3" a="1"/>
  <c r="B81" i="3" s="1"/>
  <c r="C90" i="3" a="1"/>
  <c r="C90" i="3" s="1"/>
  <c r="C92" i="3" a="1"/>
  <c r="C92" i="3" s="1"/>
  <c r="C22" i="5" a="1"/>
  <c r="C22" i="5" s="1"/>
  <c r="D24" i="5" a="1"/>
  <c r="D24" i="5" s="1"/>
  <c r="E26" i="5" a="1"/>
  <c r="E26" i="5" s="1"/>
  <c r="A42" i="5" a="1"/>
  <c r="A42" i="5" s="1"/>
  <c r="F42" i="5" s="1"/>
  <c r="B44" i="5" a="1"/>
  <c r="B44" i="5" s="1"/>
  <c r="C46" i="5" a="1"/>
  <c r="C46" i="5" s="1"/>
  <c r="D48" i="5" a="1"/>
  <c r="D48" i="5" s="1"/>
  <c r="E50" i="5" a="1"/>
  <c r="E50" i="5" s="1"/>
  <c r="E61" i="5" a="1"/>
  <c r="E61" i="5" s="1"/>
  <c r="C67" i="5" a="1"/>
  <c r="C67" i="5" s="1"/>
  <c r="B77" i="5" a="1"/>
  <c r="B77" i="5" s="1"/>
  <c r="E83" i="5" a="1"/>
  <c r="E83" i="5" s="1"/>
  <c r="A87" i="5" a="1"/>
  <c r="A87" i="5" s="1"/>
  <c r="F87" i="5" s="1"/>
  <c r="P76" i="3"/>
  <c r="A39" i="5" a="1"/>
  <c r="A39" i="5" s="1"/>
  <c r="F39" i="5" s="1"/>
  <c r="P35" i="3"/>
  <c r="P59" i="3"/>
  <c r="D81" i="3" a="1"/>
  <c r="D81" i="3" s="1"/>
  <c r="B85" i="3" a="1"/>
  <c r="B85" i="3" s="1"/>
  <c r="E90" i="3" a="1"/>
  <c r="E90" i="3" s="1"/>
  <c r="E92" i="3" a="1"/>
  <c r="E92" i="3" s="1"/>
  <c r="A29" i="5" a="1"/>
  <c r="A29" i="5" s="1"/>
  <c r="F29" i="5" s="1"/>
  <c r="B31" i="5" a="1"/>
  <c r="B31" i="5" s="1"/>
  <c r="C33" i="5" a="1"/>
  <c r="C33" i="5" s="1"/>
  <c r="D35" i="5" a="1"/>
  <c r="D35" i="5" s="1"/>
  <c r="E37" i="5" a="1"/>
  <c r="E37" i="5" s="1"/>
  <c r="A53" i="5" a="1"/>
  <c r="A53" i="5" s="1"/>
  <c r="F53" i="5" s="1"/>
  <c r="B55" i="5" a="1"/>
  <c r="B55" i="5" s="1"/>
  <c r="C57" i="5" a="1"/>
  <c r="C57" i="5" s="1"/>
  <c r="D59" i="5" a="1"/>
  <c r="D59" i="5" s="1"/>
  <c r="C71" i="5" a="1"/>
  <c r="C71" i="5" s="1"/>
  <c r="B81" i="5" a="1"/>
  <c r="B81" i="5" s="1"/>
  <c r="E87" i="5" a="1"/>
  <c r="E87" i="5" s="1"/>
  <c r="P84" i="3"/>
  <c r="P39" i="3"/>
  <c r="P63" i="3"/>
  <c r="D22" i="5" a="1"/>
  <c r="D22" i="5" s="1"/>
  <c r="E24" i="5" a="1"/>
  <c r="E24" i="5" s="1"/>
  <c r="A40" i="5" a="1"/>
  <c r="A40" i="5" s="1"/>
  <c r="F40" i="5" s="1"/>
  <c r="B42" i="5" a="1"/>
  <c r="B42" i="5" s="1"/>
  <c r="C44" i="5" a="1"/>
  <c r="C44" i="5" s="1"/>
  <c r="D46" i="5" a="1"/>
  <c r="D46" i="5" s="1"/>
  <c r="E48" i="5" a="1"/>
  <c r="E48" i="5" s="1"/>
  <c r="B68" i="5" a="1"/>
  <c r="B68" i="5" s="1"/>
  <c r="E74" i="5" a="1"/>
  <c r="E74" i="5" s="1"/>
  <c r="A78" i="5" a="1"/>
  <c r="A78" i="5" s="1"/>
  <c r="F78" i="5" s="1"/>
  <c r="D84" i="5" a="1"/>
  <c r="D84" i="5" s="1"/>
  <c r="P25" i="3"/>
  <c r="P37" i="3"/>
  <c r="P49" i="3"/>
  <c r="P61" i="3"/>
  <c r="P73" i="3"/>
  <c r="D79" i="3" a="1"/>
  <c r="D79" i="3" s="1"/>
  <c r="P83" i="3"/>
  <c r="P26" i="3"/>
  <c r="P38" i="3"/>
  <c r="P50" i="3"/>
  <c r="P62" i="3"/>
  <c r="P74" i="3"/>
  <c r="P82" i="3"/>
  <c r="B86" i="3" a="1"/>
  <c r="B86" i="3" s="1"/>
  <c r="C88" i="3" a="1"/>
  <c r="C88" i="3" s="1"/>
  <c r="P20" i="3"/>
  <c r="P32" i="3"/>
  <c r="P44" i="3"/>
  <c r="P56" i="3"/>
  <c r="P68" i="3"/>
  <c r="D84" i="3" a="1"/>
  <c r="D84" i="3" s="1"/>
  <c r="P88" i="3"/>
  <c r="P21" i="3"/>
  <c r="P33" i="3"/>
  <c r="P45" i="3"/>
  <c r="P57" i="3"/>
  <c r="P69" i="3"/>
  <c r="B79" i="3" a="1"/>
  <c r="B79" i="3" s="1"/>
  <c r="F79" i="3" s="1"/>
  <c r="P87" i="3"/>
  <c r="P22" i="3"/>
  <c r="P34" i="3"/>
  <c r="P46" i="3"/>
  <c r="P58" i="3"/>
  <c r="P70" i="3"/>
  <c r="P86" i="3"/>
  <c r="P24" i="3"/>
  <c r="P36" i="3"/>
  <c r="P48" i="3"/>
  <c r="P60" i="3"/>
  <c r="P72" i="3"/>
  <c r="F30" i="5" l="1"/>
  <c r="F28" i="5"/>
  <c r="F26" i="5"/>
  <c r="F27" i="5"/>
  <c r="F25" i="5"/>
  <c r="F24" i="5"/>
  <c r="F23" i="5"/>
  <c r="F22" i="5"/>
  <c r="D10" i="3"/>
  <c r="H6" i="3" a="1"/>
  <c r="H6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<sst xmlns="http://schemas.openxmlformats.org/spreadsheetml/2006/main" count="3196" uniqueCount="609">
  <si>
    <r>
      <t xml:space="preserve">PLANEJADOR MATRÍCULA DO CURSO - 26/2
</t>
    </r>
    <r>
      <rPr>
        <b/>
        <sz val="20"/>
        <color rgb="FFFFFFFF"/>
        <rFont val="Carlito"/>
      </rPr>
      <t>Engenharia Eletrônica e de Telecomunicações - Patos de Minas</t>
    </r>
  </si>
  <si>
    <t>Pré-requisitos, oferta de disciplinas e montagem do quadro de horários</t>
  </si>
  <si>
    <t>1  VISUALIZE PRÉ-REQUISITOS</t>
  </si>
  <si>
    <t>2  CONSULTE PRÉ-REQUISITOS</t>
  </si>
  <si>
    <t>3  SELECIONE DISCIPLINAS</t>
  </si>
  <si>
    <t>4  CONFIRA CHOQUE DE HORÁRIOS</t>
  </si>
  <si>
    <r>
      <rPr>
        <b/>
        <sz val="11"/>
        <color rgb="FF17212B"/>
        <rFont val="Carlito"/>
      </rPr>
      <t>1 - VISÃO GERAL DOS "PRÉ-REQUISITOS"</t>
    </r>
    <r>
      <rPr>
        <sz val="11"/>
        <color rgb="FF17212B"/>
        <rFont val="Carlito"/>
      </rPr>
      <t xml:space="preserve">
Veja todas as disciplinas organizadas por período e identifique rapidamente quais disciplinas idealmente vocês teriam de já estar aprovados. É possível ver os pré-requisitos e correquisitos, acompanhando a numeração das disciplinas.</t>
    </r>
  </si>
  <si>
    <r>
      <rPr>
        <b/>
        <sz val="11"/>
        <color rgb="FF17212B"/>
        <rFont val="Carlito"/>
      </rPr>
      <t>2 - CONSULTA DE "PRÉ-REQUISITOS"</t>
    </r>
    <r>
      <rPr>
        <sz val="11"/>
        <color rgb="FF17212B"/>
        <rFont val="Carlito"/>
      </rPr>
      <t xml:space="preserve">
Selecione até 15 disciplinas. A planilha vai gerar aumaticamente a lista de disciplinas vocês precisam ter sido aprovados, para um bom desempenho nas disciplinas selecionadas. São mostrados os pré-requisitos imediatos e também toda a cadeia anterior necessária para cursá-las.</t>
    </r>
  </si>
  <si>
    <r>
      <rPr>
        <b/>
        <sz val="11"/>
        <color rgb="FF17212B"/>
        <rFont val="Carlito"/>
      </rPr>
      <t>3 - OFERTA E SELEÇÃO DE DISCIPLINAS</t>
    </r>
    <r>
      <rPr>
        <sz val="11"/>
        <color rgb="FF17212B"/>
        <rFont val="Carlito"/>
      </rPr>
      <t xml:space="preserve">
Confira os horários por período e troque ☐ por ☑ nas disciplinas que pretende cursar. As marcações alimentam automaticamente o seu quadro na próxima aba.</t>
    </r>
  </si>
  <si>
    <r>
      <rPr>
        <b/>
        <sz val="11"/>
        <color rgb="FF17212B"/>
        <rFont val="Carlito"/>
      </rPr>
      <t>4 - MEU QUADRO DE HORÁRIOS</t>
    </r>
    <r>
      <rPr>
        <sz val="11"/>
        <color rgb="FF17212B"/>
        <rFont val="Carlito"/>
      </rPr>
      <t xml:space="preserve">
Veja a grade resultante, os choques de horários são destacados em vermelho. Logo abaixo dos horários, são listados os pré-requisitos das disciplinas escolhidas.</t>
    </r>
  </si>
  <si>
    <r>
      <rPr>
        <b/>
        <sz val="11"/>
        <color rgb="FF002060"/>
        <rFont val="Carlito"/>
      </rPr>
      <t>COMO USAR</t>
    </r>
    <r>
      <rPr>
        <sz val="11"/>
        <color rgb="FF17212B"/>
        <rFont val="Carlito"/>
      </rPr>
      <t xml:space="preserve">
1. Se quiser ter uma visão geral dos pré-requisitos, comece pelo 1.
2. Se quer verificar os pré-requisitos diretamente de um conjunto de disciplinas, vá para o 2.
3. Comece por aqui, se quiser montar e visualizar a sua grade de horários para o semestre. Marque as disciplinas desejadas com ☑.
4. Abra Meu horário e revise choques e exigências antes da matrícula.</t>
    </r>
  </si>
  <si>
    <r>
      <rPr>
        <b/>
        <sz val="11"/>
        <color rgb="FF7A292C"/>
        <rFont val="Carlito"/>
      </rPr>
      <t>LEMBRETES IMPORTANTES</t>
    </r>
    <r>
      <rPr>
        <sz val="11"/>
        <color rgb="FF7A292C"/>
        <rFont val="Carlito"/>
      </rPr>
      <t xml:space="preserve">
</t>
    </r>
    <r>
      <rPr>
        <sz val="10"/>
        <color rgb="FF7A292C"/>
        <rFont val="Carlito"/>
      </rPr>
      <t xml:space="preserve">
■ Vermelho no quadro = choque de horário.
■ * , ** e (P) foram retirados, em relação ao horário original.
■ Disciplinas do 10º período não entram, pois não possuem horário fixo.
■ As informações </t>
    </r>
    <r>
      <rPr>
        <b/>
        <u/>
        <sz val="10"/>
        <color rgb="FF7A292C"/>
        <rFont val="Carlito"/>
      </rPr>
      <t>são orientativas e não substituem o sistema acadêmico</t>
    </r>
    <r>
      <rPr>
        <sz val="10"/>
        <color rgb="FF7A292C"/>
        <rFont val="Carlito"/>
      </rPr>
      <t xml:space="preserve"> e o ajuste de matrícula. A ideia é facilitar e diminuir as dúvidas.
■ Após a consulta, faça a matrícula no portal do estudante nas datas corretas.
■ A planilha não foi exaustivamente testada, portanto, podem haver erros.</t>
    </r>
  </si>
  <si>
    <r>
      <rPr>
        <i/>
        <sz val="10"/>
        <color rgb="FFFFFFFF"/>
        <rFont val="Carlito"/>
      </rPr>
      <t xml:space="preserve">Documento orientativo • Horários 2026/2 • Sempre confirme a oferta e as regras vigentes antes de efetivar a matrícula.
</t>
    </r>
    <r>
      <rPr>
        <i/>
        <sz val="8"/>
        <color rgb="FFFFFFFF"/>
        <rFont val="Carlito"/>
      </rPr>
      <t>Prof. Daniel Costa Ramos - UFU Patos de Minas - 2026</t>
    </r>
  </si>
  <si>
    <t>Fluxograma orientativo de pré-requisitos</t>
  </si>
  <si>
    <t>Consulta visual não oficial. Esse é um guia de recomendações sobre quais os conteúdos necessários em cada disciplina.</t>
  </si>
  <si>
    <t>1º período</t>
  </si>
  <si>
    <t>2º período</t>
  </si>
  <si>
    <t>3º período</t>
  </si>
  <si>
    <t>4º período</t>
  </si>
  <si>
    <t>5º período</t>
  </si>
  <si>
    <t>6º período</t>
  </si>
  <si>
    <t>7º período</t>
  </si>
  <si>
    <t>8º período</t>
  </si>
  <si>
    <t>9º período</t>
  </si>
  <si>
    <t>10º período</t>
  </si>
  <si>
    <t>8 — Experimental de Circuitos Elétricos I
Co: 7</t>
  </si>
  <si>
    <t>14 — Fundamentos de Semicondutores
Pré: 2</t>
  </si>
  <si>
    <t>22 — Eletrônica Analógica I
Pré: 7, 14</t>
  </si>
  <si>
    <t>29 — Eletrônica Analógica II
Pré: 7, 22</t>
  </si>
  <si>
    <t>37 — Microcontroladores
Pré: 5, 31</t>
  </si>
  <si>
    <t>44 — Eletrônica para Radiofrequência
Pré: 22, 34, 43</t>
  </si>
  <si>
    <t>50 — Sistemas de Radioenlace
Pré: 44, 45, 49</t>
  </si>
  <si>
    <t>56 — Projeto Final de Curso I
2300h Integralizadas</t>
  </si>
  <si>
    <t>62 — Projeto Final de Curso II
Pré: 56</t>
  </si>
  <si>
    <t>10 — Lab. de Física Básica: Mecânica
Co: 9</t>
  </si>
  <si>
    <t>15 — Circuitos Elétricos II
Pré: 4, 7</t>
  </si>
  <si>
    <t>23 — Experimental de Eletrônica Analógica I
Pré: 8  |  Co: 22</t>
  </si>
  <si>
    <t>30 — Experimental de Eletrônica Analógica II
Pré: 8, 23  |  Co: 29</t>
  </si>
  <si>
    <t>38 — Optativa - Eixo de Computação
Pré: 6, 13  |  1200 horas</t>
  </si>
  <si>
    <t>45 — Comunicações Digitais II
Pré: 12, 39</t>
  </si>
  <si>
    <t>51 — Comunicações Móveis
Pré: 44, 45, 49</t>
  </si>
  <si>
    <t>61 — Optativa - Eixo Comum
1200h Integralizadas</t>
  </si>
  <si>
    <t>63 — Estágio Supervisionado
2300h Integralizadas</t>
  </si>
  <si>
    <t>11 — Cálculo Diferencial e Integral II
Pré: 4</t>
  </si>
  <si>
    <t>16 — Experimental de Circuitos Elétricos II
Pré: 8  |  Co: 15</t>
  </si>
  <si>
    <t>25 — Lab. de Física Básica: Ondulatória e Ótica
Co: 24</t>
  </si>
  <si>
    <t>31 — Eletrônica Digital
Pré: 7, 22</t>
  </si>
  <si>
    <t>39 — Comunicações Digitais I
Pré: 12, 26, 34</t>
  </si>
  <si>
    <t>46 — Telefonia Digital
Pré: 34</t>
  </si>
  <si>
    <t>52 — Sistemas de Televisão
Pré: 39, 45</t>
  </si>
  <si>
    <t>69 — Atividades Curriculares de Extensão: Projeto Interdisciplinar
Pré: 6, 37</t>
  </si>
  <si>
    <t>13 — Programação Orientada a Objetos
Pré: 6</t>
  </si>
  <si>
    <t>18 — Lab. Física Básica: Eletricidade e Magnetismo
Co: 17</t>
  </si>
  <si>
    <t>26 — Sinais e Sistemas
Pré: 4, 11, 19, 20</t>
  </si>
  <si>
    <t>32 — Experimental de Eletrônica Digital
Pré: 8  |  Co: 31</t>
  </si>
  <si>
    <t>40 — Sistemas de Controle
Pré: 26</t>
  </si>
  <si>
    <t>48 — Instalações Elétricas
Pré: 7</t>
  </si>
  <si>
    <t>53 — Gerenciamento e Segurança de Redes
Pré: 47</t>
  </si>
  <si>
    <t>19 — Cálculo Diferencial e Integral III
Pré: 4, 11</t>
  </si>
  <si>
    <t>28 — Eletromagnetismo
Pré: 4, 5, 11</t>
  </si>
  <si>
    <t>33 — Processamento Digital de Sinais
Pré: 26</t>
  </si>
  <si>
    <t>41 — Conversão de Energia e Introdução às Máquinas Elétricas
Pré: 28, 35</t>
  </si>
  <si>
    <t>49 — Antenas
Pré: 28, 36, 43</t>
  </si>
  <si>
    <t>54 — Dispositivo de Micro-ondas
Pré: 5, 36, 44</t>
  </si>
  <si>
    <t>20 — Métodos Matemáticos
Pré: 4, 11</t>
  </si>
  <si>
    <t>34 — Princípios de Comunicação
Pré: 26, 28</t>
  </si>
  <si>
    <t>42 — Experimental de Conversão de Energia e Introdução às Máquinas Elétricas
Pré: 35  |  Co: 41</t>
  </si>
  <si>
    <t>55 — Comunicações Ópticas
Pré: 14, 36</t>
  </si>
  <si>
    <t>21 — Fenômenos de Transporte
Pré: 4</t>
  </si>
  <si>
    <t>35 — Circuitos Elétricos Polifásicos
Pré: 7, 28</t>
  </si>
  <si>
    <t>43 — Linhas de Transmissão e Radiação
Pré: 28, 36</t>
  </si>
  <si>
    <t>36 — Ondas Eletromagnéticas
Pré: 28</t>
  </si>
  <si>
    <r>
      <rPr>
        <b/>
        <sz val="11"/>
        <color rgb="FFFF0000"/>
        <rFont val="Carlito"/>
      </rPr>
      <t xml:space="preserve">COM PRÉ-REQUISITO / CORREQUISITO / EXIGÊNCIA (Parte Superior)  ↑ </t>
    </r>
    <r>
      <rPr>
        <b/>
        <sz val="11"/>
        <color rgb="FFD75452"/>
        <rFont val="Carlito"/>
      </rPr>
      <t xml:space="preserve">   </t>
    </r>
    <r>
      <rPr>
        <b/>
        <sz val="11"/>
        <color rgb="FFD75452"/>
        <rFont val="Carlito"/>
      </rPr>
      <t xml:space="preserve"> • </t>
    </r>
    <r>
      <rPr>
        <b/>
        <sz val="11"/>
        <color rgb="FFD75452"/>
        <rFont val="Carlito"/>
      </rPr>
      <t xml:space="preserve">    </t>
    </r>
    <r>
      <rPr>
        <b/>
        <sz val="11"/>
        <color rgb="FF275317"/>
        <rFont val="Carlito"/>
      </rPr>
      <t>SEM EXIGÊNCIAS ↓ (Parte Inferior)</t>
    </r>
  </si>
  <si>
    <t>1 — Introdução à Eng. Eletrônica e de Telecomunicações</t>
  </si>
  <si>
    <t>7 — Circuitos Elétricos I</t>
  </si>
  <si>
    <t>17 — Física Básica: Eletricidade e Magnetismo</t>
  </si>
  <si>
    <t>24 — Física Básica: Oscilações, Ondas e Ótica</t>
  </si>
  <si>
    <t>65 — Atividades Curriculares de Extensão II</t>
  </si>
  <si>
    <t>66 — Atividades Curriculares de Extensão III</t>
  </si>
  <si>
    <t>47 — Redes de Comunicação</t>
  </si>
  <si>
    <t>68 — Atividades Curriculares de Extensão V</t>
  </si>
  <si>
    <t>57 — Ciências Sociais e Jurídicas</t>
  </si>
  <si>
    <t>2 — Química Tecnológica</t>
  </si>
  <si>
    <t>9 — Física Básica: Mecânica</t>
  </si>
  <si>
    <t>27 — Cálculo Numérico</t>
  </si>
  <si>
    <t>67 — Atividades Curriculares de Extensão IV</t>
  </si>
  <si>
    <t>58 — Administração e Gerenciamento de Projetos</t>
  </si>
  <si>
    <t>3 — Expressão Gráfica</t>
  </si>
  <si>
    <t>12 — Estatística para Engenharia</t>
  </si>
  <si>
    <t>64 — Atividades Curriculares de Extensão I</t>
  </si>
  <si>
    <t>59 — Engenharia Ambiental</t>
  </si>
  <si>
    <t>4 — Cálculo Diferencial e Integral I</t>
  </si>
  <si>
    <t>60 — Economia</t>
  </si>
  <si>
    <t>5 — Álgebra Matricial e Geometria Analítica</t>
  </si>
  <si>
    <t>6 — Introdução à Tecnologia da Computação</t>
  </si>
  <si>
    <t>Legenda: Pré = pré-requisito imediato | Co = correquisito | A aba Consulta calcula também os requisitos indiretos e os necessários para cursar correquisitos.</t>
  </si>
  <si>
    <t>Consulta interativa de pré-requisitos</t>
  </si>
  <si>
    <t>1 - Introdução à Eng. Eletrônica e de Telecomunicações</t>
  </si>
  <si>
    <t>Selecione até quinze disciplinas. A lista consolidada inclui pré-requisitos, pré-requisitos dos pré-requisitos e componentes necessários para cursar correquisitos.</t>
  </si>
  <si>
    <t>2 - Química Tecnológica</t>
  </si>
  <si>
    <t>3 - Expressão Gráfica</t>
  </si>
  <si>
    <t>1. Disciplinas que o aluno pretende cursar</t>
  </si>
  <si>
    <t>2. Lista consolidada de componentes necessários</t>
  </si>
  <si>
    <t>4 - Cálculo Diferencial e Integral I</t>
  </si>
  <si>
    <t>Seleção 1</t>
  </si>
  <si>
    <t>5 - Álgebra Matricial e Geometria Analítica</t>
  </si>
  <si>
    <t>Seleção 2</t>
  </si>
  <si>
    <t>6 - Introdução à Tecnologia da Computação</t>
  </si>
  <si>
    <t>Seleção 3</t>
  </si>
  <si>
    <t>disciplinas selecionadas</t>
  </si>
  <si>
    <t>7 - Circuitos Elétricos I</t>
  </si>
  <si>
    <t>Seleção 4</t>
  </si>
  <si>
    <t>8 - Experimental de Circuitos Elétricos I</t>
  </si>
  <si>
    <t>Seleção 5</t>
  </si>
  <si>
    <t>9 - Física Básica: Mecânica</t>
  </si>
  <si>
    <t>Seleção 6</t>
  </si>
  <si>
    <t>10 - Lab. de Física Básica: Mecânica</t>
  </si>
  <si>
    <t>Seleção 7</t>
  </si>
  <si>
    <t>componentes necessários (únicos)</t>
  </si>
  <si>
    <t>11 - Cálculo Diferencial e Integral II</t>
  </si>
  <si>
    <t>Seleção 8</t>
  </si>
  <si>
    <t>12 - Estatística para Engenharia</t>
  </si>
  <si>
    <t>Seleção 9</t>
  </si>
  <si>
    <t>13 - Programação Orientada a Objetos</t>
  </si>
  <si>
    <t>Seleção 10</t>
  </si>
  <si>
    <t>14 - Fundamentos de Semicondutores</t>
  </si>
  <si>
    <t>Seleção 11</t>
  </si>
  <si>
    <t>15 - Circuitos Elétricos II</t>
  </si>
  <si>
    <t>Seleção 12</t>
  </si>
  <si>
    <t>16 - Experimental de Circuitos Elétricos II</t>
  </si>
  <si>
    <t>Seleção 13</t>
  </si>
  <si>
    <t>17 - Física Básica: Eletricidade e Magnetismo</t>
  </si>
  <si>
    <t>Seleção 14</t>
  </si>
  <si>
    <t>18 - Lab. Física Básica: Eletricidade e Magnetismo</t>
  </si>
  <si>
    <t>Seleção 15</t>
  </si>
  <si>
    <t>19 - Cálculo Diferencial e Integral III</t>
  </si>
  <si>
    <t>20 - Métodos Matemáticos</t>
  </si>
  <si>
    <t>21 - Fenômenos de Transporte</t>
  </si>
  <si>
    <t>22 - Eletrônica Analógica I</t>
  </si>
  <si>
    <t>23 - Experimental de Eletrônica Analógica I</t>
  </si>
  <si>
    <t>24 - Física Básica: Oscilações, Ondas e Ótica</t>
  </si>
  <si>
    <t>25 - Lab. de Física Básica: Ondulatória e Ótica</t>
  </si>
  <si>
    <t>26 - Sinais e Sistemas</t>
  </si>
  <si>
    <t>27 - Cálculo Numérico</t>
  </si>
  <si>
    <t>28 - Eletromagnetismo</t>
  </si>
  <si>
    <t>29 - Eletrônica Analógica II</t>
  </si>
  <si>
    <t>30 - Experimental de Eletrônica Analógica II</t>
  </si>
  <si>
    <t>31 - Eletrônica Digital</t>
  </si>
  <si>
    <t>32 - Experimental de Eletrônica Digital</t>
  </si>
  <si>
    <t>33 - Processamento Digital de Sinais</t>
  </si>
  <si>
    <t>34 - Princípios de Comunicação</t>
  </si>
  <si>
    <t>35 - Circuitos Elétricos Polifásicos</t>
  </si>
  <si>
    <t>36 - Ondas Eletromagnéticas</t>
  </si>
  <si>
    <t>37 - Microcontroladores</t>
  </si>
  <si>
    <t>38 - Optativa - Eixo de Computação</t>
  </si>
  <si>
    <t>39 - Comunicações Digitais I</t>
  </si>
  <si>
    <t>40 - Sistemas de Controle</t>
  </si>
  <si>
    <t>41 - Conversão de Energia e Introdução às Máquinas Elétricas</t>
  </si>
  <si>
    <t>42 - Experimental de Conversão de Energia e Introdução às Máquinas Elétricas</t>
  </si>
  <si>
    <t>43 - Linhas de Transmissão e Radiação</t>
  </si>
  <si>
    <t>44 - Eletrônica para Radiofrequência</t>
  </si>
  <si>
    <t>45 - Comunicações Digitais II</t>
  </si>
  <si>
    <t>46 - Telefonia Digital</t>
  </si>
  <si>
    <t>47 - Redes de Comunicação</t>
  </si>
  <si>
    <t>48 - Instalações Elétricas</t>
  </si>
  <si>
    <t>49 - Antenas</t>
  </si>
  <si>
    <t>50 - Sistemas de Radioenlace</t>
  </si>
  <si>
    <t>51 - Comunicações Móveis</t>
  </si>
  <si>
    <t>52 - Sistemas de Televisão</t>
  </si>
  <si>
    <t>53 - Gerenciamento e Segurança de Redes</t>
  </si>
  <si>
    <t>54 - Dispositivo de Micro-ondas</t>
  </si>
  <si>
    <t>55 - Comunicações Ópticas</t>
  </si>
  <si>
    <t>56 - Projeto Final de Curso I</t>
  </si>
  <si>
    <t>57 - Ciências Sociais e Jurídicas</t>
  </si>
  <si>
    <t>58 - Administração e Gerenciamento de Projetos</t>
  </si>
  <si>
    <t>59 - Engenharia Ambiental</t>
  </si>
  <si>
    <t>60 - Economia</t>
  </si>
  <si>
    <t>61 - Optativa - Eixo Comum</t>
  </si>
  <si>
    <t>62 - Projeto Final de Curso II</t>
  </si>
  <si>
    <t>63 - Estágio Supervisionado</t>
  </si>
  <si>
    <t>64 - Atividades Curriculares de Extensão I</t>
  </si>
  <si>
    <t>65 - Atividades Curriculares de Extensão II</t>
  </si>
  <si>
    <t>66 - Atividades Curriculares de Extensão III</t>
  </si>
  <si>
    <t>67 - Atividades Curriculares de Extensão IV</t>
  </si>
  <si>
    <t>68 - Atividades Curriculares de Extensão V</t>
  </si>
  <si>
    <t>69 - Atividades Curriculares de Extensão: Projeto Interdisciplinar</t>
  </si>
  <si>
    <t>3. Detalhamento por disciplina selecionada</t>
  </si>
  <si>
    <t>Disciplina</t>
  </si>
  <si>
    <t>Pré-requisitos imediatos</t>
  </si>
  <si>
    <t>Correquisitos</t>
  </si>
  <si>
    <t>Cadeia completa</t>
  </si>
  <si>
    <t>Exigências especiais</t>
  </si>
  <si>
    <t>Observação</t>
  </si>
  <si>
    <t>Como interpretar: a cadeia completa reúne as dependências transitivas. Correquisitos permanecem identificados separadamente, mas seus próprios requisitos também entram na lista consolidada. O resultado é orientativo e não substitui a conferência no sistema acadêmico.</t>
  </si>
  <si>
    <t>Oferta de disciplinas e seleção — 2026/2</t>
  </si>
  <si>
    <t>Em cada período, confira a grade à esquerda e troque ☐ por ☑ nas disciplinas desejadas à direita. A aba Meu horário reúne a seleção e avisa os choques.</t>
  </si>
  <si>
    <t>Seleção — 1º período</t>
  </si>
  <si>
    <t>Horário</t>
  </si>
  <si>
    <t>Segunda</t>
  </si>
  <si>
    <t>Terça</t>
  </si>
  <si>
    <t>Quarta</t>
  </si>
  <si>
    <t>Quinta</t>
  </si>
  <si>
    <t>Sexta</t>
  </si>
  <si>
    <t>Marcar</t>
  </si>
  <si>
    <t>Nº</t>
  </si>
  <si>
    <t>Sigla</t>
  </si>
  <si>
    <t>Professor</t>
  </si>
  <si>
    <t>Local</t>
  </si>
  <si>
    <t>07:10 – 08:00</t>
  </si>
  <si>
    <t>CALC1</t>
  </si>
  <si>
    <t>AMGA</t>
  </si>
  <si>
    <t>QT</t>
  </si>
  <si>
    <t>☐</t>
  </si>
  <si>
    <t>IEET</t>
  </si>
  <si>
    <t>Introdução à Eng. Eletrônica e de Telecomunicações</t>
  </si>
  <si>
    <t>Diego</t>
  </si>
  <si>
    <t>201G</t>
  </si>
  <si>
    <t>08:00 – 08:50</t>
  </si>
  <si>
    <t>Química Tecnológica</t>
  </si>
  <si>
    <t>Daniele L</t>
  </si>
  <si>
    <t>08:50 – 09:40</t>
  </si>
  <si>
    <t>EG</t>
  </si>
  <si>
    <t>Expressão Gráfica</t>
  </si>
  <si>
    <t>Carla</t>
  </si>
  <si>
    <t>Ouro</t>
  </si>
  <si>
    <t>09:50 – 10:40</t>
  </si>
  <si>
    <t>Cálculo Diferencial e Integral I</t>
  </si>
  <si>
    <t>Bruno</t>
  </si>
  <si>
    <t>10:40 – 11:30</t>
  </si>
  <si>
    <t>ITC</t>
  </si>
  <si>
    <t>Álgebra Matricial e Geometria Analítica</t>
  </si>
  <si>
    <t>Wilian</t>
  </si>
  <si>
    <t>11:30 – 12:20</t>
  </si>
  <si>
    <t>Introdução à Tecnologia da Computação</t>
  </si>
  <si>
    <t>Laurence</t>
  </si>
  <si>
    <t>Topázio</t>
  </si>
  <si>
    <t>13:10 – 14:00</t>
  </si>
  <si>
    <t>14:00 – 14:50</t>
  </si>
  <si>
    <t>14:50 – 15:40</t>
  </si>
  <si>
    <t>16:00 – 16:50</t>
  </si>
  <si>
    <t>16:50 – 17:40</t>
  </si>
  <si>
    <t>17:40 – 18:30</t>
  </si>
  <si>
    <t>Seleção — 2º período</t>
  </si>
  <si>
    <t>CALC2</t>
  </si>
  <si>
    <t>CE1</t>
  </si>
  <si>
    <t>Circuitos Elétricos I</t>
  </si>
  <si>
    <t>Elise</t>
  </si>
  <si>
    <t>202G</t>
  </si>
  <si>
    <t>EST</t>
  </si>
  <si>
    <t>ECE1</t>
  </si>
  <si>
    <t>Experimental de Circuitos Elétricos I</t>
  </si>
  <si>
    <t>MJ 405</t>
  </si>
  <si>
    <t>LFIS1</t>
  </si>
  <si>
    <t>FIS1</t>
  </si>
  <si>
    <t>POO</t>
  </si>
  <si>
    <t>Física Básica: Mecânica</t>
  </si>
  <si>
    <t>Ricardo</t>
  </si>
  <si>
    <t>Lab. de Física Básica: Mecânica</t>
  </si>
  <si>
    <t>MJ Fis</t>
  </si>
  <si>
    <t>Cálculo Diferencial e Integral II</t>
  </si>
  <si>
    <t>Marcelo</t>
  </si>
  <si>
    <t>Estatística para Engenharia</t>
  </si>
  <si>
    <t>Fabrícia</t>
  </si>
  <si>
    <t>Programação Orientada a Objetos</t>
  </si>
  <si>
    <t>Eliana</t>
  </si>
  <si>
    <t>Seleção — 3º período</t>
  </si>
  <si>
    <t>MM</t>
  </si>
  <si>
    <t>CALC3</t>
  </si>
  <si>
    <t>FS</t>
  </si>
  <si>
    <t>Fundamentos de Semicondutores</t>
  </si>
  <si>
    <t>Davi</t>
  </si>
  <si>
    <t>203G</t>
  </si>
  <si>
    <t>CE2</t>
  </si>
  <si>
    <t>Circuitos Elétricos II</t>
  </si>
  <si>
    <t>Aline</t>
  </si>
  <si>
    <t>FIS2</t>
  </si>
  <si>
    <t>LFIS2</t>
  </si>
  <si>
    <t>ECE2</t>
  </si>
  <si>
    <t>Experimental de Circuitos Elétricos II</t>
  </si>
  <si>
    <t>FT</t>
  </si>
  <si>
    <t>Física Básica: Eletricidade e Magnetismo</t>
  </si>
  <si>
    <t>Paulo</t>
  </si>
  <si>
    <t>Lab. Física Básica: Eletricidade e Magnetismo</t>
  </si>
  <si>
    <t>Cálculo Diferencial e Integral III</t>
  </si>
  <si>
    <t>Marta</t>
  </si>
  <si>
    <t>Métodos Matemáticos</t>
  </si>
  <si>
    <t>Fenômenos de Transporte</t>
  </si>
  <si>
    <t>Henrique</t>
  </si>
  <si>
    <t>Seleção — 4º período</t>
  </si>
  <si>
    <t>LFIS3</t>
  </si>
  <si>
    <t>FIS3</t>
  </si>
  <si>
    <t>SS</t>
  </si>
  <si>
    <t>CN</t>
  </si>
  <si>
    <t>EA1</t>
  </si>
  <si>
    <t>Eletrônica Analógica I</t>
  </si>
  <si>
    <t>Guilherme</t>
  </si>
  <si>
    <t>204G</t>
  </si>
  <si>
    <t>EEA1</t>
  </si>
  <si>
    <t>Experimental de Eletrônica Analógica I</t>
  </si>
  <si>
    <t>MJ 404</t>
  </si>
  <si>
    <t>EMAG</t>
  </si>
  <si>
    <t>Física Básica: Oscilações, Ondas e Ótica</t>
  </si>
  <si>
    <t>Daniele</t>
  </si>
  <si>
    <t>Lab. de Física Básica: Ondulatória e Ótica</t>
  </si>
  <si>
    <t>Sinais e Sistemas</t>
  </si>
  <si>
    <t>Karine</t>
  </si>
  <si>
    <t>Cálculo Numérico</t>
  </si>
  <si>
    <t>ACE1</t>
  </si>
  <si>
    <t>Eletromagnetismo</t>
  </si>
  <si>
    <t>Atividades Curriculares de Extensão I</t>
  </si>
  <si>
    <t>Seleção — 5º período</t>
  </si>
  <si>
    <t>OE</t>
  </si>
  <si>
    <t>EED</t>
  </si>
  <si>
    <t>ED</t>
  </si>
  <si>
    <t>PC</t>
  </si>
  <si>
    <t>EA2</t>
  </si>
  <si>
    <t>Eletrônica Analógica II</t>
  </si>
  <si>
    <t>205G</t>
  </si>
  <si>
    <t>EEA2</t>
  </si>
  <si>
    <t>Experimental de Eletrônica Analógica II</t>
  </si>
  <si>
    <t>PDS</t>
  </si>
  <si>
    <t>CEP</t>
  </si>
  <si>
    <t>Eletrônica Digital</t>
  </si>
  <si>
    <t>Júlio</t>
  </si>
  <si>
    <t>Experimental de Eletrônica Digital</t>
  </si>
  <si>
    <t>Processamento Digital de Sinais</t>
  </si>
  <si>
    <t>Alfa</t>
  </si>
  <si>
    <t>Princípios de Comunicação</t>
  </si>
  <si>
    <t>ACE2</t>
  </si>
  <si>
    <t>Circuitos Elétricos Polifásicos</t>
  </si>
  <si>
    <t>Ondas Eletromagnéticas</t>
  </si>
  <si>
    <t>André</t>
  </si>
  <si>
    <t>Atividades Curriculares de Extensão II</t>
  </si>
  <si>
    <t>Seleção — 6º período</t>
  </si>
  <si>
    <t>ESOF</t>
  </si>
  <si>
    <t>LTR</t>
  </si>
  <si>
    <t>SC</t>
  </si>
  <si>
    <t>MICRO</t>
  </si>
  <si>
    <t>Microcontroladores</t>
  </si>
  <si>
    <t>CEIME</t>
  </si>
  <si>
    <t>ECEIME</t>
  </si>
  <si>
    <t>Optativa - Eixo de Computação</t>
  </si>
  <si>
    <t>CD1</t>
  </si>
  <si>
    <t>Comunicações Digitais I</t>
  </si>
  <si>
    <t>Sistemas de Controle</t>
  </si>
  <si>
    <t>Daniel</t>
  </si>
  <si>
    <t>Conversão de Energia e Introdução às Máquinas Elétricas</t>
  </si>
  <si>
    <t>206G</t>
  </si>
  <si>
    <t>Experimental de Conversão de Energia e Introdução às Máquinas Elétricas</t>
  </si>
  <si>
    <t>ACE3</t>
  </si>
  <si>
    <t>Linhas de Transmissão e Radiação</t>
  </si>
  <si>
    <t>Atividades Curriculares de Extensão III</t>
  </si>
  <si>
    <t>Seleção — 7º período</t>
  </si>
  <si>
    <t>CD2</t>
  </si>
  <si>
    <t>IE</t>
  </si>
  <si>
    <t>ERF</t>
  </si>
  <si>
    <t>Eletrônica para Radiofrequência</t>
  </si>
  <si>
    <t>Comunicações Digitais II</t>
  </si>
  <si>
    <t>Pedro</t>
  </si>
  <si>
    <t>401G</t>
  </si>
  <si>
    <t>ANT</t>
  </si>
  <si>
    <t>REDES</t>
  </si>
  <si>
    <t>TD</t>
  </si>
  <si>
    <t>Telefonia Digital</t>
  </si>
  <si>
    <t>Redes de Comunicação</t>
  </si>
  <si>
    <t>Instalações Elétricas</t>
  </si>
  <si>
    <t>Antenas</t>
  </si>
  <si>
    <t>Renan</t>
  </si>
  <si>
    <t>ACE4</t>
  </si>
  <si>
    <t>Atividades Curriculares de Extensão IV</t>
  </si>
  <si>
    <t>Seleção — 8º período</t>
  </si>
  <si>
    <t>SRE</t>
  </si>
  <si>
    <t>CO</t>
  </si>
  <si>
    <t>DMO</t>
  </si>
  <si>
    <t>Sistemas de Radioenlace</t>
  </si>
  <si>
    <t>CM</t>
  </si>
  <si>
    <t>Comunicações Móveis</t>
  </si>
  <si>
    <t>STV</t>
  </si>
  <si>
    <t>Sistemas de Televisão</t>
  </si>
  <si>
    <t>GSR</t>
  </si>
  <si>
    <t>Gerenciamento e Segurança de Redes</t>
  </si>
  <si>
    <t>403G</t>
  </si>
  <si>
    <t>Dispositivo de Micro-ondas</t>
  </si>
  <si>
    <t>Comunicações Ópticas</t>
  </si>
  <si>
    <t>ACE5</t>
  </si>
  <si>
    <t>Atividades Curriculares de Extensão V</t>
  </si>
  <si>
    <t>Seleção — 9º período</t>
  </si>
  <si>
    <t>ACEPI</t>
  </si>
  <si>
    <t>CSJ</t>
  </si>
  <si>
    <t>ADMGP</t>
  </si>
  <si>
    <t>EAMB</t>
  </si>
  <si>
    <t>PFC1</t>
  </si>
  <si>
    <t>Projeto Final de Curso I</t>
  </si>
  <si>
    <t>405G</t>
  </si>
  <si>
    <t>Ciências Sociais e Jurídicas</t>
  </si>
  <si>
    <t>Raquel</t>
  </si>
  <si>
    <t>Administração e Gerenciamento de Projetos</t>
  </si>
  <si>
    <t>Peterson</t>
  </si>
  <si>
    <t>ECON</t>
  </si>
  <si>
    <t>Engenharia Ambiental</t>
  </si>
  <si>
    <t>Gilvan</t>
  </si>
  <si>
    <t>304G</t>
  </si>
  <si>
    <t>Economia</t>
  </si>
  <si>
    <t>Atividades Curriculares de Extensão: Projeto Interdisciplinar</t>
  </si>
  <si>
    <t>MJ 403</t>
  </si>
  <si>
    <t>Optativas com horário fixo</t>
  </si>
  <si>
    <t>Seleção — Optativas com horário fixo</t>
  </si>
  <si>
    <t>EMP</t>
  </si>
  <si>
    <t>Optativa - Eixo Comum</t>
  </si>
  <si>
    <t>Meu quadro de horários</t>
  </si>
  <si>
    <t>Cada célula reúne todas as disciplinas selecionadas naquele horário. Células vermelhas indicam choque entre duas ou mais disciplinas.</t>
  </si>
  <si>
    <t>Pré-requisitos das disciplinas selecionadas</t>
  </si>
  <si>
    <t>Disciplina selecionada</t>
  </si>
  <si>
    <t>Cadeia completa (inclui indiretos)</t>
  </si>
  <si>
    <t>Situação</t>
  </si>
  <si>
    <t>4 - Cálculo Diferencial e Integral I; 7 - Circuitos Elétricos I</t>
  </si>
  <si>
    <t>4 - Cálculo Diferencial e Integral I; 7 - Circuitos Elétricos I; 8 - Experimental de Circuitos Elétricos I; 15 - Circuitos Elétricos II</t>
  </si>
  <si>
    <t>4 - Cálculo Diferencial e Integral I; 11 - Cálculo Diferencial e Integral II</t>
  </si>
  <si>
    <t>7 - Circuitos Elétricos I; 14 - Fundamentos de Semicondutores</t>
  </si>
  <si>
    <t>2 - Química Tecnológica; 7 - Circuitos Elétricos I; 14 - Fundamentos de Semicondutores</t>
  </si>
  <si>
    <t>2 - Química Tecnológica; 7 - Circuitos Elétricos I; 8 - Experimental de Circuitos Elétricos I; 14 - Fundamentos de Semicondutores; 22 - Eletrônica Analógica I</t>
  </si>
  <si>
    <t>4 - Cálculo Diferencial e Integral I; 11 - Cálculo Diferencial e Integral II; 19 - Cálculo Diferencial e Integral III; 20 - Métodos Matemáticos</t>
  </si>
  <si>
    <t>4 - Cálculo Diferencial e Integral I; 5 - Álgebra Matricial e Geometria Analítica; 11 - Cálculo Diferencial e Integral II</t>
  </si>
  <si>
    <t>7 - Circuitos Elétricos I; 22 - Eletrônica Analógica I</t>
  </si>
  <si>
    <t>2 - Química Tecnológica; 7 - Circuitos Elétricos I; 14 - Fundamentos de Semicondutores; 22 - Eletrônica Analógica I</t>
  </si>
  <si>
    <t>8 - Experimental de Circuitos Elétricos I; 23 - Experimental de Eletrônica Analógica I</t>
  </si>
  <si>
    <t>2 - Química Tecnológica; 7 - Circuitos Elétricos I; 8 - Experimental de Circuitos Elétricos I; 14 - Fundamentos de Semicondutores; 22 - Eletrônica Analógica I; 23 - Experimental de Eletrônica Analógica I; 29 - Eletrônica Analógica II</t>
  </si>
  <si>
    <t>2 - Química Tecnológica; 7 - Circuitos Elétricos I; 8 - Experimental de Circuitos Elétricos I; 14 - Fundamentos de Semicondutores; 22 - Eletrônica Analógica I; 31 - Eletrônica Digital</t>
  </si>
  <si>
    <t>4 - Cálculo Diferencial e Integral I; 11 - Cálculo Diferencial e Integral II; 19 - Cálculo Diferencial e Integral III; 20 - Métodos Matemáticos; 26 - Sinais e Sistemas</t>
  </si>
  <si>
    <t>26 - Sinais e Sistemas; 28 - Eletromagnetismo</t>
  </si>
  <si>
    <t>4 - Cálculo Diferencial e Integral I; 5 - Álgebra Matricial e Geometria Analítica; 11 - Cálculo Diferencial e Integral II; 19 - Cálculo Diferencial e Integral III; 20 - Métodos Matemáticos; 26 - Sinais e Sistemas; 28 - Eletromagnetismo</t>
  </si>
  <si>
    <t>7 - Circuitos Elétricos I; 28 - Eletromagnetismo</t>
  </si>
  <si>
    <t>4 - Cálculo Diferencial e Integral I; 5 - Álgebra Matricial e Geometria Analítica; 7 - Circuitos Elétricos I; 11 - Cálculo Diferencial e Integral II; 28 - Eletromagnetismo</t>
  </si>
  <si>
    <t>4 - Cálculo Diferencial e Integral I; 5 - Álgebra Matricial e Geometria Analítica; 11 - Cálculo Diferencial e Integral II; 28 - Eletromagnetismo</t>
  </si>
  <si>
    <t>5 - Álgebra Matricial e Geometria Analítica; 31 - Eletrônica Digital</t>
  </si>
  <si>
    <t>2 - Química Tecnológica; 5 - Álgebra Matricial e Geometria Analítica; 7 - Circuitos Elétricos I; 14 - Fundamentos de Semicondutores; 22 - Eletrônica Analógica I; 31 - Eletrônica Digital</t>
  </si>
  <si>
    <t>6 - Introdução à Tecnologia da Computação; 13 - Programação Orientada a Objetos</t>
  </si>
  <si>
    <t>1200 horas</t>
  </si>
  <si>
    <t>12 - Estatística para Engenharia; 26 - Sinais e Sistemas; 34 - Princípios de Comunicação</t>
  </si>
  <si>
    <t>4 - Cálculo Diferencial e Integral I; 5 - Álgebra Matricial e Geometria Analítica; 11 - Cálculo Diferencial e Integral II; 12 - Estatística para Engenharia; 19 - Cálculo Diferencial e Integral III; 20 - Métodos Matemáticos; 26 - Sinais e Sistemas; 28 - Eletromagnetismo; 34 - Princípios de Comunicação</t>
  </si>
  <si>
    <t>28 - Eletromagnetismo; 35 - Circuitos Elétricos Polifásicos</t>
  </si>
  <si>
    <t>4 - Cálculo Diferencial e Integral I; 5 - Álgebra Matricial e Geometria Analítica; 7 - Circuitos Elétricos I; 11 - Cálculo Diferencial e Integral II; 28 - Eletromagnetismo; 35 - Circuitos Elétricos Polifásicos</t>
  </si>
  <si>
    <t>4 - Cálculo Diferencial e Integral I; 5 - Álgebra Matricial e Geometria Analítica; 7 - Circuitos Elétricos I; 11 - Cálculo Diferencial e Integral II; 28 - Eletromagnetismo; 35 - Circuitos Elétricos Polifásicos; 41 - Conversão de Energia e Introdução às Máquinas Elétricas</t>
  </si>
  <si>
    <t>28 - Eletromagnetismo; 36 - Ondas Eletromagnéticas</t>
  </si>
  <si>
    <t>4 - Cálculo Diferencial e Integral I; 5 - Álgebra Matricial e Geometria Analítica; 11 - Cálculo Diferencial e Integral II; 28 - Eletromagnetismo; 36 - Ondas Eletromagnéticas</t>
  </si>
  <si>
    <t>22 - Eletrônica Analógica I; 34 - Princípios de Comunicação; 43 - Linhas de Transmissão e Radiação</t>
  </si>
  <si>
    <t>2 - Química Tecnológica; 4 - Cálculo Diferencial e Integral I; 5 - Álgebra Matricial e Geometria Analítica; 7 - Circuitos Elétricos I; 11 - Cálculo Diferencial e Integral II; 14 - Fundamentos de Semicondutores; 19 - Cálculo Diferencial e Integral III; 20 - Métodos Matemáticos; 22 - Eletrônica Analógica I; 26 - Sinais e Sistemas; 28 - Eletromagnetismo; 34 - Princípios de Comunicação; 36 - Ondas Eletromagnéticas; 43 - Linhas de Transmissão e Radiação</t>
  </si>
  <si>
    <t>12 - Estatística para Engenharia; 39 - Comunicações Digitais I</t>
  </si>
  <si>
    <t>4 - Cálculo Diferencial e Integral I; 5 - Álgebra Matricial e Geometria Analítica; 11 - Cálculo Diferencial e Integral II; 12 - Estatística para Engenharia; 19 - Cálculo Diferencial e Integral III; 20 - Métodos Matemáticos; 26 - Sinais e Sistemas; 28 - Eletromagnetismo; 34 - Princípios de Comunicação; 39 - Comunicações Digitais I</t>
  </si>
  <si>
    <t>4 - Cálculo Diferencial e Integral I; 5 - Álgebra Matricial e Geometria Analítica; 11 - Cálculo Diferencial e Integral II; 19 - Cálculo Diferencial e Integral III; 20 - Métodos Matemáticos; 26 - Sinais e Sistemas; 28 - Eletromagnetismo; 34 - Princípios de Comunicação</t>
  </si>
  <si>
    <t>28 - Eletromagnetismo; 36 - Ondas Eletromagnéticas; 43 - Linhas de Transmissão e Radiação</t>
  </si>
  <si>
    <t>4 - Cálculo Diferencial e Integral I; 5 - Álgebra Matricial e Geometria Analítica; 11 - Cálculo Diferencial e Integral II; 28 - Eletromagnetismo; 36 - Ondas Eletromagnéticas; 43 - Linhas de Transmissão e Radiação</t>
  </si>
  <si>
    <t>44 - Eletrônica para Radiofrequência; 45 - Comunicações Digitais II; 49 - Antenas</t>
  </si>
  <si>
    <t>2 - Química Tecnológica; 4 - Cálculo Diferencial e Integral I; 5 - Álgebra Matricial e Geometria Analítica; 7 - Circuitos Elétricos I; 11 - Cálculo Diferencial e Integral II; 12 - Estatística para Engenharia; 14 - Fundamentos de Semicondutores; 19 - Cálculo Diferencial e Integral III; 20 - Métodos Matemáticos; 22 - Eletrônica Analógica I; 26 - Sinais e Sistemas; 28 - Eletromagnetismo; 34 - Princípios de Comunicação; 36 - Ondas Eletromagnéticas; 39 - Comunicações Digitais I; 43 - Linhas de Transmissão e Radiação; 44 - Eletrônica para Radiofrequência; 45 - Comunicações Digitais II; 49 - Antenas</t>
  </si>
  <si>
    <t>39 - Comunicações Digitais I; 45 - Comunicações Digitais II</t>
  </si>
  <si>
    <t>4 - Cálculo Diferencial e Integral I; 5 - Álgebra Matricial e Geometria Analítica; 11 - Cálculo Diferencial e Integral II; 12 - Estatística para Engenharia; 19 - Cálculo Diferencial e Integral III; 20 - Métodos Matemáticos; 26 - Sinais e Sistemas; 28 - Eletromagnetismo; 34 - Princípios de Comunicação; 39 - Comunicações Digitais I; 45 - Comunicações Digitais II</t>
  </si>
  <si>
    <t>5 - Álgebra Matricial e Geometria Analítica; 36 - Ondas Eletromagnéticas; 44 - Eletrônica para Radiofrequência</t>
  </si>
  <si>
    <t>2 - Química Tecnológica; 4 - Cálculo Diferencial e Integral I; 5 - Álgebra Matricial e Geometria Analítica; 7 - Circuitos Elétricos I; 11 - Cálculo Diferencial e Integral II; 14 - Fundamentos de Semicondutores; 19 - Cálculo Diferencial e Integral III; 20 - Métodos Matemáticos; 22 - Eletrônica Analógica I; 26 - Sinais e Sistemas; 28 - Eletromagnetismo; 34 - Princípios de Comunicação; 36 - Ondas Eletromagnéticas; 43 - Linhas de Transmissão e Radiação; 44 - Eletrônica para Radiofrequência</t>
  </si>
  <si>
    <t>14 - Fundamentos de Semicondutores; 36 - Ondas Eletromagnéticas</t>
  </si>
  <si>
    <t>2 - Química Tecnológica; 4 - Cálculo Diferencial e Integral I; 5 - Álgebra Matricial e Geometria Analítica; 11 - Cálculo Diferencial e Integral II; 14 - Fundamentos de Semicondutores; 28 - Eletromagnetismo; 36 - Ondas Eletromagnéticas</t>
  </si>
  <si>
    <t>2300h Integralizadas</t>
  </si>
  <si>
    <t>6 - Introdução à Tecnologia da Computação; 37 - Microcontroladores</t>
  </si>
  <si>
    <t>2 - Química Tecnológica; 5 - Álgebra Matricial e Geometria Analítica; 6 - Introdução à Tecnologia da Computação; 7 - Circuitos Elétricos I; 14 - Fundamentos de Semicondutores; 22 - Eletrônica Analógica I; 31 - Eletrônica Digital; 37 - Microcontroladores</t>
  </si>
  <si>
    <t>1200h Integralizadas</t>
  </si>
  <si>
    <t>Base de dados e cadeias de dependência</t>
  </si>
  <si>
    <t>Fonte: Fluxograma_orientativo_pre_requisitos_v4.pptx, fornecido pelo usuário. Pré-requisitos e correquisitos foram transcritos sem alterações de mérito.</t>
  </si>
  <si>
    <t>Número</t>
  </si>
  <si>
    <t>Período</t>
  </si>
  <si>
    <t>Cadeia de pré-requisitos</t>
  </si>
  <si>
    <t>Dependências completas</t>
  </si>
  <si>
    <t>Exigências de carga horária</t>
  </si>
  <si>
    <t>Chave de seleção</t>
  </si>
  <si>
    <t>Selecionados que dependem deste componente</t>
  </si>
  <si>
    <t>||</t>
  </si>
  <si>
    <t>|14|22|23|29|30|31|32|37|44|50|51|54|55|69|</t>
  </si>
  <si>
    <t>|11|15|16|19|20|21|26|28|33|34|35|36|39|40|41|42|43|44|45|46|49|50|51|52|54|55|</t>
  </si>
  <si>
    <t>|28|34|35|36|37|39|41|42|43|44|45|46|49|50|51|52|54|55|69|</t>
  </si>
  <si>
    <t>|13|38|69|</t>
  </si>
  <si>
    <t>|8|15|16|22|23|29|30|31|32|35|37|41|42|44|48|50|51|54|69|</t>
  </si>
  <si>
    <t>|16|23|30|32|</t>
  </si>
  <si>
    <t>|10|</t>
  </si>
  <si>
    <t>|19|20|26|28|33|34|35|36|39|40|41|42|43|44|45|46|49|50|51|52|54|55|</t>
  </si>
  <si>
    <t>|39|45|50|51|52|</t>
  </si>
  <si>
    <t>|38|</t>
  </si>
  <si>
    <t>|22|23|29|30|31|32|37|44|50|51|54|55|69|</t>
  </si>
  <si>
    <t>|16|</t>
  </si>
  <si>
    <t>|18|</t>
  </si>
  <si>
    <t>11 - Cálculo Diferencial e Integral II; 4 - Cálculo Diferencial e Integral I</t>
  </si>
  <si>
    <t>|26|33|34|39|40|44|45|46|50|51|52|54|</t>
  </si>
  <si>
    <t>7 - Circuitos Elétricos I; 14 - Fundamentos de Semicondutores; 2 - Química Tecnológica</t>
  </si>
  <si>
    <t>|23|29|30|31|32|37|44|50|51|54|69|</t>
  </si>
  <si>
    <t>|30|</t>
  </si>
  <si>
    <t>|25|</t>
  </si>
  <si>
    <t>19 - Cálculo Diferencial e Integral III; 20 - Métodos Matemáticos; 11 - Cálculo Diferencial e Integral II; 4 - Cálculo Diferencial e Integral I</t>
  </si>
  <si>
    <t>|33|34|39|40|44|45|46|50|51|52|54|</t>
  </si>
  <si>
    <t>5 - Álgebra Matricial e Geometria Analítica; 11 - Cálculo Diferencial e Integral II; 4 - Cálculo Diferencial e Integral I</t>
  </si>
  <si>
    <t>|34|35|36|39|41|42|43|44|45|46|49|50|51|52|54|55|</t>
  </si>
  <si>
    <t>22 - Eletrônica Analógica I; 7 - Circuitos Elétricos I; 14 - Fundamentos de Semicondutores; 2 - Química Tecnológica</t>
  </si>
  <si>
    <t>23 - Experimental de Eletrônica Analógica I; 8 - Experimental de Circuitos Elétricos I</t>
  </si>
  <si>
    <t>|32|37|69|</t>
  </si>
  <si>
    <t>26 - Sinais e Sistemas; 19 - Cálculo Diferencial e Integral III; 20 - Métodos Matemáticos; 11 - Cálculo Diferencial e Integral II; 4 - Cálculo Diferencial e Integral I</t>
  </si>
  <si>
    <t>26 - Sinais e Sistemas; 28 - Eletromagnetismo; 5 - Álgebra Matricial e Geometria Analítica; 19 - Cálculo Diferencial e Integral III; 20 - Métodos Matemáticos; 11 - Cálculo Diferencial e Integral II; 4 - Cálculo Diferencial e Integral I</t>
  </si>
  <si>
    <t>|39|44|45|46|50|51|52|54|</t>
  </si>
  <si>
    <t>7 - Circuitos Elétricos I; 28 - Eletromagnetismo; 5 - Álgebra Matricial e Geometria Analítica; 11 - Cálculo Diferencial e Integral II; 4 - Cálculo Diferencial e Integral I</t>
  </si>
  <si>
    <t>|41|42|</t>
  </si>
  <si>
    <t>28 - Eletromagnetismo; 5 - Álgebra Matricial e Geometria Analítica; 11 - Cálculo Diferencial e Integral II; 4 - Cálculo Diferencial e Integral I</t>
  </si>
  <si>
    <t>|43|44|49|50|51|54|55|</t>
  </si>
  <si>
    <t>5 - Álgebra Matricial e Geometria Analítica; 31 - Eletrônica Digital; 22 - Eletrônica Analógica I; 7 - Circuitos Elétricos I; 14 - Fundamentos de Semicondutores; 2 - Química Tecnológica</t>
  </si>
  <si>
    <t>|69|</t>
  </si>
  <si>
    <t>13 - Programação Orientada a Objetos; 6 - Introdução à Tecnologia da Computação</t>
  </si>
  <si>
    <t>12 - Estatística para Engenharia; 34 - Princípios de Comunicação; 26 - Sinais e Sistemas; 28 - Eletromagnetismo; 5 - Álgebra Matricial e Geometria Analítica; 19 - Cálculo Diferencial e Integral III; 20 - Métodos Matemáticos; 11 - Cálculo Diferencial e Integral II; 4 - Cálculo Diferencial e Integral I</t>
  </si>
  <si>
    <t>|45|50|51|52|</t>
  </si>
  <si>
    <t>35 - Circuitos Elétricos Polifásicos; 7 - Circuitos Elétricos I; 28 - Eletromagnetismo; 5 - Álgebra Matricial e Geometria Analítica; 11 - Cálculo Diferencial e Integral II; 4 - Cálculo Diferencial e Integral I</t>
  </si>
  <si>
    <t>|42|</t>
  </si>
  <si>
    <t>36 - Ondas Eletromagnéticas; 28 - Eletromagnetismo; 5 - Álgebra Matricial e Geometria Analítica; 11 - Cálculo Diferencial e Integral II; 4 - Cálculo Diferencial e Integral I</t>
  </si>
  <si>
    <t>|44|49|50|51|54|</t>
  </si>
  <si>
    <t>22 - Eletrônica Analógica I; 34 - Princípios de Comunicação; 43 - Linhas de Transmissão e Radiação; 7 - Circuitos Elétricos I; 14 - Fundamentos de Semicondutores; 26 - Sinais e Sistemas; 36 - Ondas Eletromagnéticas; 2 - Química Tecnológica; 19 - Cálculo Diferencial e Integral III; 20 - Métodos Matemáticos; 28 - Eletromagnetismo; 5 - Álgebra Matricial e Geometria Analítica; 11 - Cálculo Diferencial e Integral II; 4 - Cálculo Diferencial e Integral I</t>
  </si>
  <si>
    <t>|50|51|54|</t>
  </si>
  <si>
    <t>39 - Comunicações Digitais I; 12 - Estatística para Engenharia; 34 - Princípios de Comunicação; 26 - Sinais e Sistemas; 28 - Eletromagnetismo; 5 - Álgebra Matricial e Geometria Analítica; 19 - Cálculo Diferencial e Integral III; 20 - Métodos Matemáticos; 11 - Cálculo Diferencial e Integral II; 4 - Cálculo Diferencial e Integral I</t>
  </si>
  <si>
    <t>|50|51|52|</t>
  </si>
  <si>
    <t>34 - Princípios de Comunicação; 26 - Sinais e Sistemas; 28 - Eletromagnetismo; 5 - Álgebra Matricial e Geometria Analítica; 19 - Cálculo Diferencial e Integral III; 20 - Métodos Matemáticos; 11 - Cálculo Diferencial e Integral II; 4 - Cálculo Diferencial e Integral I</t>
  </si>
  <si>
    <t>|53|</t>
  </si>
  <si>
    <t>43 - Linhas de Transmissão e Radiação; 36 - Ondas Eletromagnéticas; 28 - Eletromagnetismo; 5 - Álgebra Matricial e Geometria Analítica; 11 - Cálculo Diferencial e Integral II; 4 - Cálculo Diferencial e Integral I</t>
  </si>
  <si>
    <t>|50|51|</t>
  </si>
  <si>
    <t>44 - Eletrônica para Radiofrequência; 45 - Comunicações Digitais II; 49 - Antenas; 22 - Eletrônica Analógica I; 39 - Comunicações Digitais I; 43 - Linhas de Transmissão e Radiação; 7 - Circuitos Elétricos I; 12 - Estatística para Engenharia; 14 - Fundamentos de Semicondutores; 34 - Princípios de Comunicação; 36 - Ondas Eletromagnéticas; 2 - Química Tecnológica; 26 - Sinais e Sistemas; 28 - Eletromagnetismo; 5 - Álgebra Matricial e Geometria Analítica; 19 - Cálculo Diferencial e Integral III; 20 - Métodos Matemáticos; 11 - Cálculo Diferencial e Integral II; 4 - Cálculo Diferencial e Integral I</t>
  </si>
  <si>
    <t>45 - Comunicações Digitais II; 39 - Comunicações Digitais I; 12 - Estatística para Engenharia; 34 - Princípios de Comunicação; 26 - Sinais e Sistemas; 28 - Eletromagnetismo; 5 - Álgebra Matricial e Geometria Analítica; 19 - Cálculo Diferencial e Integral III; 20 - Métodos Matemáticos; 11 - Cálculo Diferencial e Integral II; 4 - Cálculo Diferencial e Integral I</t>
  </si>
  <si>
    <t>44 - Eletrônica para Radiofrequência; 22 - Eletrônica Analógica I; 34 - Princípios de Comunicação; 43 - Linhas de Transmissão e Radiação; 7 - Circuitos Elétricos I; 14 - Fundamentos de Semicondutores; 26 - Sinais e Sistemas; 36 - Ondas Eletromagnéticas; 2 - Química Tecnológica; 19 - Cálculo Diferencial e Integral III; 20 - Métodos Matemáticos; 28 - Eletromagnetismo; 5 - Álgebra Matricial e Geometria Analítica; 11 - Cálculo Diferencial e Integral II; 4 - Cálculo Diferencial e Integral I</t>
  </si>
  <si>
    <t>14 - Fundamentos de Semicondutores; 36 - Ondas Eletromagnéticas; 2 - Química Tecnológica; 28 - Eletromagnetismo; 5 - Álgebra Matricial e Geometria Analítica; 11 - Cálculo Diferencial e Integral II; 4 - Cálculo Diferencial e Integral I</t>
  </si>
  <si>
    <t>|62|</t>
  </si>
  <si>
    <t>Projeto Final de Curso II</t>
  </si>
  <si>
    <t>Estágio Supervisionado</t>
  </si>
  <si>
    <t>6 - Introdução à Tecnologia da Computação; 37 - Microcontroladores; 5 - Álgebra Matricial e Geometria Analítica; 31 - Eletrônica Digital; 22 - Eletrônica Analógica I; 7 - Circuitos Elétricos I; 14 - Fundamentos de Semicondutores; 2 - Química Tecnológica</t>
  </si>
  <si>
    <t>Base de horários consolidada — 2026/2</t>
  </si>
  <si>
    <t>Variantes com *, ** e (P) foram consolidadas. Disciplinas do 10º período foram excluídas por não possuírem horário fixo.</t>
  </si>
  <si>
    <t>Dia</t>
  </si>
  <si>
    <t>Exibição no quadro</t>
  </si>
  <si>
    <t>Selecionada</t>
  </si>
  <si>
    <t>CALC1 — Cálculo Diferencial e Integral I
Bruno | 201G</t>
  </si>
  <si>
    <t>AMGA — Álgebra Matricial e Geometria Analítica
Wilian | 201G</t>
  </si>
  <si>
    <t>ITC — Introdução à Tecnologia da Computação
Laurence | Topázio</t>
  </si>
  <si>
    <t>IEET — Introdução à Eng. Eletrônica e de Telecomunicações
Diego | 201G</t>
  </si>
  <si>
    <t>QT — Química Tecnológica
Daniele L | 201G</t>
  </si>
  <si>
    <t>EG — Expressão Gráfica
Carla | Ouro</t>
  </si>
  <si>
    <t>LFIS1 — Lab. de Física Básica: Mecânica
Ricardo | MJ Fis</t>
  </si>
  <si>
    <t>ECE1 — Experimental de Circuitos Elétricos I
Elise | MJ 405</t>
  </si>
  <si>
    <t>CALC2 — Cálculo Diferencial e Integral II
Marcelo | 202G</t>
  </si>
  <si>
    <t>FIS1 — Física Básica: Mecânica
Ricardo | 202G</t>
  </si>
  <si>
    <t>EST — Estatística para Engenharia
Fabrícia | 202G</t>
  </si>
  <si>
    <t>CE1 — Circuitos Elétricos I
Elise | 202G</t>
  </si>
  <si>
    <t>POO — Programação Orientada a Objetos
Eliana | Topázio</t>
  </si>
  <si>
    <t>MM — Métodos Matemáticos
Marcelo | 203G</t>
  </si>
  <si>
    <t>CE2 — Circuitos Elétricos II
Aline | 203G</t>
  </si>
  <si>
    <t>FS — Fundamentos de Semicondutores
Davi | 203G</t>
  </si>
  <si>
    <t>FT — Fenômenos de Transporte
Henrique | 203G</t>
  </si>
  <si>
    <t>CALC3 — Cálculo Diferencial e Integral III
Marta | 203G</t>
  </si>
  <si>
    <t>FIS2 — Física Básica: Eletricidade e Magnetismo
Paulo | 203G</t>
  </si>
  <si>
    <t>LFIS2 — Lab. Física Básica: Eletricidade e Magnetismo
Paulo | MJ Fis</t>
  </si>
  <si>
    <t>ECE2 — Experimental de Circuitos Elétricos II
Aline | MJ 405</t>
  </si>
  <si>
    <t>EMAG — Eletromagnetismo
Aline | 204G</t>
  </si>
  <si>
    <t>EA1 — Eletrônica Analógica I
Guilherme | 204G</t>
  </si>
  <si>
    <t>ACE1 — Atividades Curriculares de Extensão I
Diego | 204G</t>
  </si>
  <si>
    <t>LFIS3 — Lab. de Física Básica: Ondulatória e Ótica
Daniele | MJ Fis</t>
  </si>
  <si>
    <t>EEA1 — Experimental de Eletrônica Analógica I
Guilherme | MJ 404</t>
  </si>
  <si>
    <t>FIS3 — Física Básica: Oscilações, Ondas e Ótica
Daniele | 204G</t>
  </si>
  <si>
    <t>CN — Cálculo Numérico
Marta | 204G</t>
  </si>
  <si>
    <t>SS — Sinais e Sistemas
Karine | 204G</t>
  </si>
  <si>
    <t>EA2 — Eletrônica Analógica II
Guilherme | 205G</t>
  </si>
  <si>
    <t>ACE2 — Atividades Curriculares de Extensão II
Aline | 205G</t>
  </si>
  <si>
    <t>OE — Ondas Eletromagnéticas
André | 205G</t>
  </si>
  <si>
    <t>PDS — Processamento Digital de Sinais
Karine | Alfa</t>
  </si>
  <si>
    <t>PC — Princípios de Comunicação
Aline | MJ 404</t>
  </si>
  <si>
    <t>EED — Experimental de Eletrônica Digital
Júlio | MJ 404</t>
  </si>
  <si>
    <t>EEA2 — Experimental de Eletrônica Analógica II
Guilherme | MJ 404</t>
  </si>
  <si>
    <t>ED — Eletrônica Digital
Júlio | 205G</t>
  </si>
  <si>
    <t>CEP — Circuitos Elétricos Polifásicos
Elise | 205G</t>
  </si>
  <si>
    <t>ESOF — Optativa - Eixo de Computação
Eliana | Topázio</t>
  </si>
  <si>
    <t>SC — Sistemas de Controle
Daniel | Alfa</t>
  </si>
  <si>
    <t>ACE3 — Atividades Curriculares de Extensão III
Daniel | 206G</t>
  </si>
  <si>
    <t>CEIME — Conversão de Energia e Introdução às Máquinas Elétricas
Elise | 206G</t>
  </si>
  <si>
    <t>LTR — Linhas de Transmissão e Radiação
André | Alfa</t>
  </si>
  <si>
    <t>CD1 — Comunicações Digitais I
André | Alfa</t>
  </si>
  <si>
    <t>ECEIME — Experimental de Conversão de Energia e Introdução às Máquinas Elétricas
Elise | MJ 405</t>
  </si>
  <si>
    <t>MICRO — Microcontroladores
Júlio | MJ 404</t>
  </si>
  <si>
    <t>CD2 — Comunicações Digitais II
Pedro | 401G</t>
  </si>
  <si>
    <t>ANT — Antenas
Renan | Alfa</t>
  </si>
  <si>
    <t>ACE4 — Atividades Curriculares de Extensão IV
Pedro | 401G</t>
  </si>
  <si>
    <t>IE — Instalações Elétricas
Júlio | Alfa</t>
  </si>
  <si>
    <t>REDES — Redes de Comunicação
Karine | Alfa</t>
  </si>
  <si>
    <t>ERF — Eletrônica para Radiofrequência
Davi | MJ 404</t>
  </si>
  <si>
    <t>TD — Telefonia Digital
Diego | 401G</t>
  </si>
  <si>
    <t>SRE — Sistemas de Radioenlace
Renan | Alfa</t>
  </si>
  <si>
    <t>CO — Comunicações Ópticas
Pedro | Alfa</t>
  </si>
  <si>
    <t>ACE5 — Atividades Curriculares de Extensão V
Guilherme | 403G</t>
  </si>
  <si>
    <t>CM — Comunicações Móveis
Diego | Alfa</t>
  </si>
  <si>
    <t>DMO — Dispositivo de Micro-ondas
Renan | Alfa</t>
  </si>
  <si>
    <t>STV — Sistemas de Televisão
André | Alfa</t>
  </si>
  <si>
    <t>GSR — Gerenciamento e Segurança de Redes
Daniel | 403G</t>
  </si>
  <si>
    <t>ACEPI — Atividades Curriculares de Extensão: Projeto Interdisciplinar
Júlio | MJ 403</t>
  </si>
  <si>
    <t>CSJ — Ciências Sociais e Jurídicas
Raquel | 405G</t>
  </si>
  <si>
    <t>ECON — Economia
Raquel | 405G</t>
  </si>
  <si>
    <t>ADMGP — Administração e Gerenciamento de Projetos
Peterson | 405G</t>
  </si>
  <si>
    <t>PFC1 — Projeto Final de Curso I
Diego | 405G</t>
  </si>
  <si>
    <t>EAMB — Engenharia Ambiental
Gilvan | 304G</t>
  </si>
  <si>
    <t>Opt</t>
  </si>
  <si>
    <t>EMP — Optativa - Eixo Comum
Peterson | 304G</t>
  </si>
  <si>
    <t>NOME:</t>
  </si>
  <si>
    <t>4XXXXXETE00X</t>
  </si>
  <si>
    <t>MATRÍCULA:</t>
  </si>
  <si>
    <t>Fulano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</si>
</sst>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rgb="FF000000"/>
      <name val="Calibri"/>
    </font>
    <font>
      <sz val="11"/>
      <name val="Carlito"/>
    </font>
    <font>
      <b/>
      <sz val="24"/>
      <color rgb="FFFFFFFF"/>
      <name val="Carlito"/>
    </font>
    <font>
      <sz val="11"/>
      <name val="Calibri"/>
    </font>
    <font>
      <b/>
      <sz val="14"/>
      <color rgb="FF17324D"/>
      <name val="Carlito"/>
    </font>
    <font>
      <b/>
      <sz val="11"/>
      <color rgb="FFFFFFFF"/>
      <name val="Carlito"/>
    </font>
    <font>
      <sz val="11"/>
      <color rgb="FF17212B"/>
      <name val="Carlito"/>
    </font>
    <font>
      <sz val="10"/>
      <color rgb="FF7A292C"/>
      <name val="Carlito"/>
    </font>
    <font>
      <i/>
      <sz val="10"/>
      <color rgb="FFFFFFFF"/>
      <name val="Carlito"/>
    </font>
    <font>
      <b/>
      <sz val="20"/>
      <color rgb="FFFFFFFF"/>
      <name val="Carlito"/>
    </font>
    <font>
      <i/>
      <sz val="11"/>
      <color rgb="FF64748B"/>
      <name val="Carlito"/>
    </font>
    <font>
      <b/>
      <sz val="12"/>
      <color rgb="FFFFFFFF"/>
      <name val="Carlito"/>
    </font>
    <font>
      <b/>
      <sz val="10"/>
      <color rgb="FF17212B"/>
      <name val="Carlito"/>
    </font>
    <font>
      <b/>
      <sz val="11"/>
      <color rgb="FFD75452"/>
      <name val="Carlito"/>
    </font>
    <font>
      <sz val="10"/>
      <color rgb="FF64748B"/>
      <name val="Carlito"/>
    </font>
    <font>
      <sz val="11"/>
      <color rgb="FFFFFFFF"/>
      <name val="Carlito"/>
    </font>
    <font>
      <b/>
      <sz val="11"/>
      <color rgb="FF17324D"/>
      <name val="Carlito"/>
    </font>
    <font>
      <sz val="11"/>
      <color rgb="FF64748B"/>
      <name val="Carlito"/>
    </font>
    <font>
      <b/>
      <sz val="22"/>
      <color rgb="FF4F9A6E"/>
      <name val="Carlito"/>
    </font>
    <font>
      <b/>
      <sz val="11"/>
      <color rgb="FF4F9A6E"/>
      <name val="Carlito"/>
    </font>
    <font>
      <b/>
      <sz val="22"/>
      <color rgb="FFE5A72B"/>
      <name val="Carlito"/>
    </font>
    <font>
      <b/>
      <sz val="11"/>
      <color rgb="FFE5A72B"/>
      <name val="Carlito"/>
    </font>
    <font>
      <sz val="10"/>
      <color rgb="FF17212B"/>
      <name val="Carlito"/>
    </font>
    <font>
      <i/>
      <sz val="11"/>
      <color rgb="FF7A5413"/>
      <name val="Carlito"/>
    </font>
    <font>
      <i/>
      <sz val="11"/>
      <color rgb="FF17324D"/>
      <name val="Carlito"/>
    </font>
    <font>
      <b/>
      <sz val="8"/>
      <color rgb="FFFFFFFF"/>
      <name val="Carlito"/>
    </font>
    <font>
      <b/>
      <sz val="9"/>
      <color rgb="FF17324D"/>
      <name val="Carlito"/>
    </font>
    <font>
      <sz val="9"/>
      <color rgb="FF17212B"/>
      <name val="Carlito"/>
    </font>
    <font>
      <b/>
      <sz val="14"/>
      <color rgb="FF64748B"/>
      <name val="Carlito"/>
    </font>
    <font>
      <i/>
      <sz val="11"/>
      <color rgb="FF8C2F32"/>
      <name val="Carlito"/>
    </font>
    <font>
      <b/>
      <sz val="13"/>
      <color rgb="FFFFFFFF"/>
      <name val="Carlito"/>
    </font>
    <font>
      <sz val="1"/>
      <color rgb="FFFFFFFF"/>
      <name val="Carlito"/>
    </font>
    <font>
      <b/>
      <sz val="16"/>
      <color rgb="FFFFFFFF"/>
      <name val="Carlito"/>
    </font>
    <font>
      <b/>
      <sz val="17"/>
      <color rgb="FFFFFFFF"/>
      <name val="Carlito"/>
    </font>
    <font>
      <b/>
      <sz val="11"/>
      <color rgb="FF17212B"/>
      <name val="Carlito"/>
    </font>
    <font>
      <b/>
      <sz val="11"/>
      <color rgb="FF002060"/>
      <name val="Carlito"/>
    </font>
    <font>
      <i/>
      <sz val="8"/>
      <color rgb="FFFFFFFF"/>
      <name val="Carlito"/>
    </font>
    <font>
      <b/>
      <sz val="11"/>
      <color rgb="FFFF0000"/>
      <name val="Carlito"/>
    </font>
    <font>
      <b/>
      <sz val="11"/>
      <color rgb="FF275317"/>
      <name val="Carlito"/>
    </font>
    <font>
      <b/>
      <sz val="11"/>
      <color rgb="FF7A292C"/>
      <name val="Carlito"/>
    </font>
    <font>
      <sz val="11"/>
      <color rgb="FF7A292C"/>
      <name val="Carlito"/>
    </font>
    <font>
      <b/>
      <u/>
      <sz val="10"/>
      <color rgb="FF7A292C"/>
      <name val="Carlito"/>
    </font>
    <font>
      <u/>
      <sz val="11"/>
      <color theme="1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F4F7FA"/>
      </patternFill>
    </fill>
    <fill>
      <patternFill patternType="solid">
        <fgColor rgb="FF17324D"/>
      </patternFill>
    </fill>
    <fill>
      <patternFill patternType="solid">
        <fgColor rgb="FFDCE8F2"/>
      </patternFill>
    </fill>
    <fill>
      <patternFill patternType="solid">
        <fgColor rgb="FF1F78B4"/>
      </patternFill>
    </fill>
    <fill>
      <patternFill patternType="solid">
        <fgColor rgb="FF4F9A6E"/>
      </patternFill>
    </fill>
    <fill>
      <patternFill patternType="solid">
        <fgColor rgb="FFE5A72B"/>
      </patternFill>
    </fill>
    <fill>
      <patternFill patternType="solid">
        <fgColor rgb="FF7E70B2"/>
      </patternFill>
    </fill>
    <fill>
      <patternFill patternType="solid">
        <fgColor rgb="FFEAF4FB"/>
      </patternFill>
    </fill>
    <fill>
      <patternFill patternType="solid">
        <fgColor rgb="FFEDF7F1"/>
      </patternFill>
    </fill>
    <fill>
      <patternFill patternType="solid">
        <fgColor rgb="FFFFF7E1"/>
      </patternFill>
    </fill>
    <fill>
      <patternFill patternType="solid">
        <fgColor rgb="FFF1EEFA"/>
      </patternFill>
    </fill>
    <fill>
      <patternFill patternType="solid">
        <fgColor rgb="FFFFFFFF"/>
      </patternFill>
    </fill>
    <fill>
      <patternFill patternType="solid">
        <fgColor rgb="FFFCEBEC"/>
      </patternFill>
    </fill>
    <fill>
      <patternFill patternType="solid">
        <fgColor rgb="FFE8F9FB"/>
      </patternFill>
    </fill>
    <fill>
      <patternFill patternType="solid">
        <fgColor rgb="FFEEF2F6"/>
      </patternFill>
    </fill>
    <fill>
      <patternFill patternType="solid">
        <fgColor rgb="FFE8EEF4"/>
      </patternFill>
    </fill>
    <fill>
      <patternFill patternType="solid">
        <fgColor rgb="FFF3F6F9"/>
      </patternFill>
    </fill>
    <fill>
      <patternFill patternType="solid">
        <fgColor rgb="FF544A7E"/>
      </patternFill>
    </fill>
    <fill>
      <patternFill patternType="solid">
        <fgColor rgb="FFFFF7E8"/>
      </patternFill>
    </fill>
    <fill>
      <patternFill patternType="solid">
        <fgColor rgb="FF32734D"/>
      </patternFill>
    </fill>
    <fill>
      <patternFill patternType="solid">
        <fgColor theme="2" tint="-9.9978637043366805E-2"/>
        <bgColor indexed="64"/>
      </patternFill>
    </fill>
  </fills>
  <borders count="120">
    <border>
      <left/>
      <right/>
      <top/>
      <bottom/>
      <diagonal/>
    </border>
    <border>
      <left/>
      <right/>
      <top/>
      <bottom/>
      <diagonal/>
    </border>
    <border>
      <left style="medium">
        <color rgb="FF17324D"/>
      </left>
      <right/>
      <top style="medium">
        <color rgb="FF17324D"/>
      </top>
      <bottom/>
      <diagonal/>
    </border>
    <border>
      <left/>
      <right/>
      <top style="medium">
        <color rgb="FF17324D"/>
      </top>
      <bottom/>
      <diagonal/>
    </border>
    <border>
      <left/>
      <right style="medium">
        <color rgb="FF17324D"/>
      </right>
      <top style="medium">
        <color rgb="FF17324D"/>
      </top>
      <bottom/>
      <diagonal/>
    </border>
    <border>
      <left style="medium">
        <color rgb="FF17324D"/>
      </left>
      <right/>
      <top/>
      <bottom/>
      <diagonal/>
    </border>
    <border>
      <left/>
      <right style="medium">
        <color rgb="FF17324D"/>
      </right>
      <top/>
      <bottom/>
      <diagonal/>
    </border>
    <border>
      <left style="medium">
        <color rgb="FF17324D"/>
      </left>
      <right/>
      <top/>
      <bottom style="medium">
        <color rgb="FF17324D"/>
      </bottom>
      <diagonal/>
    </border>
    <border>
      <left/>
      <right/>
      <top/>
      <bottom style="medium">
        <color rgb="FF17324D"/>
      </bottom>
      <diagonal/>
    </border>
    <border>
      <left/>
      <right style="medium">
        <color rgb="FF17324D"/>
      </right>
      <top/>
      <bottom style="medium">
        <color rgb="FF17324D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1F78B4"/>
      </bottom>
      <diagonal/>
    </border>
    <border>
      <left/>
      <right/>
      <top/>
      <bottom style="medium">
        <color rgb="FF1F78B4"/>
      </bottom>
      <diagonal/>
    </border>
    <border>
      <left style="thin">
        <color rgb="FF1F78B4"/>
      </left>
      <right/>
      <top style="thin">
        <color rgb="FF1F78B4"/>
      </top>
      <bottom/>
      <diagonal/>
    </border>
    <border>
      <left/>
      <right/>
      <top style="thin">
        <color rgb="FF1F78B4"/>
      </top>
      <bottom/>
      <diagonal/>
    </border>
    <border>
      <left/>
      <right style="thin">
        <color rgb="FF1F78B4"/>
      </right>
      <top style="thin">
        <color rgb="FF1F78B4"/>
      </top>
      <bottom/>
      <diagonal/>
    </border>
    <border>
      <left style="thin">
        <color rgb="FF4F9A6E"/>
      </left>
      <right/>
      <top style="thin">
        <color rgb="FF4F9A6E"/>
      </top>
      <bottom/>
      <diagonal/>
    </border>
    <border>
      <left/>
      <right/>
      <top style="thin">
        <color rgb="FF4F9A6E"/>
      </top>
      <bottom/>
      <diagonal/>
    </border>
    <border>
      <left/>
      <right style="thin">
        <color rgb="FF4F9A6E"/>
      </right>
      <top style="thin">
        <color rgb="FF4F9A6E"/>
      </top>
      <bottom/>
      <diagonal/>
    </border>
    <border>
      <left style="thin">
        <color rgb="FFE5A72B"/>
      </left>
      <right/>
      <top style="thin">
        <color rgb="FFE5A72B"/>
      </top>
      <bottom/>
      <diagonal/>
    </border>
    <border>
      <left/>
      <right/>
      <top style="thin">
        <color rgb="FFE5A72B"/>
      </top>
      <bottom/>
      <diagonal/>
    </border>
    <border>
      <left/>
      <right style="thin">
        <color rgb="FFE5A72B"/>
      </right>
      <top style="thin">
        <color rgb="FFE5A72B"/>
      </top>
      <bottom/>
      <diagonal/>
    </border>
    <border>
      <left style="thin">
        <color rgb="FF7E70B2"/>
      </left>
      <right/>
      <top style="thin">
        <color rgb="FF7E70B2"/>
      </top>
      <bottom/>
      <diagonal/>
    </border>
    <border>
      <left/>
      <right/>
      <top style="thin">
        <color rgb="FF7E70B2"/>
      </top>
      <bottom/>
      <diagonal/>
    </border>
    <border>
      <left/>
      <right style="thin">
        <color rgb="FF7E70B2"/>
      </right>
      <top style="thin">
        <color rgb="FF7E70B2"/>
      </top>
      <bottom/>
      <diagonal/>
    </border>
    <border>
      <left style="thin">
        <color rgb="FF1F78B4"/>
      </left>
      <right/>
      <top/>
      <bottom style="thin">
        <color rgb="FF1F78B4"/>
      </bottom>
      <diagonal/>
    </border>
    <border>
      <left/>
      <right/>
      <top/>
      <bottom style="thin">
        <color rgb="FF1F78B4"/>
      </bottom>
      <diagonal/>
    </border>
    <border>
      <left/>
      <right style="thin">
        <color rgb="FF1F78B4"/>
      </right>
      <top/>
      <bottom style="thin">
        <color rgb="FF1F78B4"/>
      </bottom>
      <diagonal/>
    </border>
    <border>
      <left style="thin">
        <color rgb="FF4F9A6E"/>
      </left>
      <right/>
      <top/>
      <bottom style="thin">
        <color rgb="FF4F9A6E"/>
      </bottom>
      <diagonal/>
    </border>
    <border>
      <left/>
      <right/>
      <top/>
      <bottom style="thin">
        <color rgb="FF4F9A6E"/>
      </bottom>
      <diagonal/>
    </border>
    <border>
      <left/>
      <right style="thin">
        <color rgb="FF4F9A6E"/>
      </right>
      <top/>
      <bottom style="thin">
        <color rgb="FF4F9A6E"/>
      </bottom>
      <diagonal/>
    </border>
    <border>
      <left style="thin">
        <color rgb="FFE5A72B"/>
      </left>
      <right/>
      <top/>
      <bottom style="thin">
        <color rgb="FFE5A72B"/>
      </bottom>
      <diagonal/>
    </border>
    <border>
      <left/>
      <right/>
      <top/>
      <bottom style="thin">
        <color rgb="FFE5A72B"/>
      </bottom>
      <diagonal/>
    </border>
    <border>
      <left/>
      <right style="thin">
        <color rgb="FFE5A72B"/>
      </right>
      <top/>
      <bottom style="thin">
        <color rgb="FFE5A72B"/>
      </bottom>
      <diagonal/>
    </border>
    <border>
      <left style="thin">
        <color rgb="FF7E70B2"/>
      </left>
      <right/>
      <top/>
      <bottom style="thin">
        <color rgb="FF7E70B2"/>
      </bottom>
      <diagonal/>
    </border>
    <border>
      <left/>
      <right/>
      <top/>
      <bottom style="thin">
        <color rgb="FF7E70B2"/>
      </bottom>
      <diagonal/>
    </border>
    <border>
      <left/>
      <right style="thin">
        <color rgb="FF7E70B2"/>
      </right>
      <top/>
      <bottom style="thin">
        <color rgb="FF7E70B2"/>
      </bottom>
      <diagonal/>
    </border>
    <border>
      <left style="medium">
        <color rgb="FF0070C0"/>
      </left>
      <right/>
      <top style="medium">
        <color rgb="FF1F78B4"/>
      </top>
      <bottom/>
      <diagonal/>
    </border>
    <border>
      <left/>
      <right/>
      <top style="medium">
        <color rgb="FF1F78B4"/>
      </top>
      <bottom/>
      <diagonal/>
    </border>
    <border>
      <left/>
      <right style="medium">
        <color rgb="FF1F78B4"/>
      </right>
      <top style="medium">
        <color rgb="FF1F78B4"/>
      </top>
      <bottom/>
      <diagonal/>
    </border>
    <border>
      <left style="medium">
        <color rgb="FF1F78B4"/>
      </left>
      <right/>
      <top style="medium">
        <color rgb="FF4F9A6E"/>
      </top>
      <bottom/>
      <diagonal/>
    </border>
    <border>
      <left/>
      <right/>
      <top style="medium">
        <color rgb="FF4F9A6E"/>
      </top>
      <bottom/>
      <diagonal/>
    </border>
    <border>
      <left/>
      <right style="medium">
        <color rgb="FF4F9A6E"/>
      </right>
      <top style="medium">
        <color rgb="FF4F9A6E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1F78B4"/>
      </right>
      <top/>
      <bottom/>
      <diagonal/>
    </border>
    <border>
      <left style="medium">
        <color rgb="FF1F78B4"/>
      </left>
      <right/>
      <top/>
      <bottom/>
      <diagonal/>
    </border>
    <border>
      <left/>
      <right style="medium">
        <color rgb="FF4F9A6E"/>
      </right>
      <top/>
      <bottom/>
      <diagonal/>
    </border>
    <border>
      <left style="medium">
        <color rgb="FF1F78B4"/>
      </left>
      <right/>
      <top/>
      <bottom style="medium">
        <color rgb="FF1F78B4"/>
      </bottom>
      <diagonal/>
    </border>
    <border>
      <left/>
      <right/>
      <top/>
      <bottom style="medium">
        <color rgb="FF1F78B4"/>
      </bottom>
      <diagonal/>
    </border>
    <border>
      <left/>
      <right style="medium">
        <color rgb="FF1F78B4"/>
      </right>
      <top/>
      <bottom style="medium">
        <color rgb="FF1F78B4"/>
      </bottom>
      <diagonal/>
    </border>
    <border>
      <left style="medium">
        <color rgb="FF1F78B4"/>
      </left>
      <right/>
      <top/>
      <bottom style="medium">
        <color rgb="FF4F9A6E"/>
      </bottom>
      <diagonal/>
    </border>
    <border>
      <left/>
      <right/>
      <top/>
      <bottom style="medium">
        <color rgb="FF4F9A6E"/>
      </bottom>
      <diagonal/>
    </border>
    <border>
      <left/>
      <right style="medium">
        <color rgb="FF4F9A6E"/>
      </right>
      <top/>
      <bottom style="medium">
        <color rgb="FF4F9A6E"/>
      </bottom>
      <diagonal/>
    </border>
    <border>
      <left style="medium">
        <color rgb="FFE5A72B"/>
      </left>
      <right/>
      <top style="medium">
        <color rgb="FFE5A72B"/>
      </top>
      <bottom/>
      <diagonal/>
    </border>
    <border>
      <left/>
      <right/>
      <top style="medium">
        <color rgb="FFE5A72B"/>
      </top>
      <bottom/>
      <diagonal/>
    </border>
    <border>
      <left/>
      <right style="medium">
        <color rgb="FF7E70B2"/>
      </right>
      <top style="medium">
        <color rgb="FFE5A72B"/>
      </top>
      <bottom/>
      <diagonal/>
    </border>
    <border>
      <left style="medium">
        <color rgb="FF7E70B2"/>
      </left>
      <right/>
      <top style="medium">
        <color rgb="FF7E70B2"/>
      </top>
      <bottom/>
      <diagonal/>
    </border>
    <border>
      <left/>
      <right/>
      <top style="medium">
        <color rgb="FF7E70B2"/>
      </top>
      <bottom/>
      <diagonal/>
    </border>
    <border>
      <left/>
      <right style="medium">
        <color rgb="FF7E70B2"/>
      </right>
      <top style="medium">
        <color rgb="FF7E70B2"/>
      </top>
      <bottom/>
      <diagonal/>
    </border>
    <border>
      <left style="medium">
        <color rgb="FFE5A72B"/>
      </left>
      <right/>
      <top/>
      <bottom/>
      <diagonal/>
    </border>
    <border>
      <left/>
      <right style="medium">
        <color rgb="FF7E70B2"/>
      </right>
      <top/>
      <bottom/>
      <diagonal/>
    </border>
    <border>
      <left style="medium">
        <color rgb="FF7E70B2"/>
      </left>
      <right/>
      <top/>
      <bottom/>
      <diagonal/>
    </border>
    <border>
      <left style="medium">
        <color rgb="FFE5A72B"/>
      </left>
      <right/>
      <top/>
      <bottom style="medium">
        <color rgb="FFE5A72B"/>
      </bottom>
      <diagonal/>
    </border>
    <border>
      <left/>
      <right/>
      <top/>
      <bottom style="medium">
        <color rgb="FFE5A72B"/>
      </bottom>
      <diagonal/>
    </border>
    <border>
      <left/>
      <right style="medium">
        <color rgb="FF7E70B2"/>
      </right>
      <top/>
      <bottom style="medium">
        <color rgb="FFE5A72B"/>
      </bottom>
      <diagonal/>
    </border>
    <border>
      <left style="medium">
        <color rgb="FF7E70B2"/>
      </left>
      <right/>
      <top/>
      <bottom style="medium">
        <color rgb="FF7E70B2"/>
      </bottom>
      <diagonal/>
    </border>
    <border>
      <left/>
      <right/>
      <top/>
      <bottom style="medium">
        <color rgb="FF7E70B2"/>
      </bottom>
      <diagonal/>
    </border>
    <border>
      <left/>
      <right style="medium">
        <color rgb="FF7E70B2"/>
      </right>
      <top/>
      <bottom style="medium">
        <color rgb="FF7E70B2"/>
      </bottom>
      <diagonal/>
    </border>
    <border>
      <left style="medium">
        <color rgb="FFD7E0E8"/>
      </left>
      <right/>
      <top style="medium">
        <color rgb="FFD7E0E8"/>
      </top>
      <bottom/>
      <diagonal/>
    </border>
    <border>
      <left/>
      <right/>
      <top style="medium">
        <color rgb="FFD7E0E8"/>
      </top>
      <bottom/>
      <diagonal/>
    </border>
    <border>
      <left/>
      <right style="medium">
        <color rgb="FFD7E0E8"/>
      </right>
      <top style="medium">
        <color rgb="FFD7E0E8"/>
      </top>
      <bottom/>
      <diagonal/>
    </border>
    <border>
      <left style="medium">
        <color rgb="FFD75452"/>
      </left>
      <right/>
      <top style="medium">
        <color rgb="FFD75452"/>
      </top>
      <bottom/>
      <diagonal/>
    </border>
    <border>
      <left/>
      <right/>
      <top style="medium">
        <color rgb="FFD75452"/>
      </top>
      <bottom/>
      <diagonal/>
    </border>
    <border>
      <left/>
      <right style="medium">
        <color rgb="FFD75452"/>
      </right>
      <top style="medium">
        <color rgb="FFD75452"/>
      </top>
      <bottom/>
      <diagonal/>
    </border>
    <border>
      <left style="medium">
        <color rgb="FFD7E0E8"/>
      </left>
      <right/>
      <top/>
      <bottom/>
      <diagonal/>
    </border>
    <border>
      <left/>
      <right style="medium">
        <color rgb="FFD7E0E8"/>
      </right>
      <top/>
      <bottom/>
      <diagonal/>
    </border>
    <border>
      <left style="medium">
        <color rgb="FFD75452"/>
      </left>
      <right/>
      <top/>
      <bottom/>
      <diagonal/>
    </border>
    <border>
      <left/>
      <right style="medium">
        <color rgb="FFD75452"/>
      </right>
      <top/>
      <bottom/>
      <diagonal/>
    </border>
    <border>
      <left style="medium">
        <color rgb="FFD7E0E8"/>
      </left>
      <right/>
      <top/>
      <bottom style="medium">
        <color rgb="FFD7E0E8"/>
      </bottom>
      <diagonal/>
    </border>
    <border>
      <left/>
      <right/>
      <top/>
      <bottom style="medium">
        <color rgb="FFD7E0E8"/>
      </bottom>
      <diagonal/>
    </border>
    <border>
      <left/>
      <right style="medium">
        <color rgb="FFD7E0E8"/>
      </right>
      <top/>
      <bottom style="medium">
        <color rgb="FFD7E0E8"/>
      </bottom>
      <diagonal/>
    </border>
    <border>
      <left style="medium">
        <color rgb="FFD75452"/>
      </left>
      <right/>
      <top/>
      <bottom style="medium">
        <color rgb="FFD75452"/>
      </bottom>
      <diagonal/>
    </border>
    <border>
      <left/>
      <right/>
      <top/>
      <bottom style="medium">
        <color rgb="FFD75452"/>
      </bottom>
      <diagonal/>
    </border>
    <border>
      <left/>
      <right style="medium">
        <color rgb="FFD75452"/>
      </right>
      <top/>
      <bottom style="medium">
        <color rgb="FFD75452"/>
      </bottom>
      <diagonal/>
    </border>
    <border>
      <left/>
      <right/>
      <top/>
      <bottom/>
      <diagonal/>
    </border>
    <border>
      <left style="medium">
        <color rgb="FF1F78B4"/>
      </left>
      <right style="medium">
        <color rgb="FF1F78B4"/>
      </right>
      <top style="medium">
        <color rgb="FF1F78B4"/>
      </top>
      <bottom style="medium">
        <color rgb="FF1F78B4"/>
      </bottom>
      <diagonal/>
    </border>
    <border>
      <left style="medium">
        <color rgb="FF4F9A6E"/>
      </left>
      <right style="medium">
        <color rgb="FF4F9A6E"/>
      </right>
      <top style="medium">
        <color rgb="FF4F9A6E"/>
      </top>
      <bottom style="medium">
        <color rgb="FF4F9A6E"/>
      </bottom>
      <diagonal/>
    </border>
    <border>
      <left style="medium">
        <color rgb="FF7E70B2"/>
      </left>
      <right style="medium">
        <color rgb="FF7E70B2"/>
      </right>
      <top style="medium">
        <color rgb="FF7E70B2"/>
      </top>
      <bottom style="medium">
        <color rgb="FF7E70B2"/>
      </bottom>
      <diagonal/>
    </border>
    <border>
      <left style="medium">
        <color rgb="FFE5A72B"/>
      </left>
      <right style="medium">
        <color rgb="FFE5A72B"/>
      </right>
      <top style="medium">
        <color rgb="FFE5A72B"/>
      </top>
      <bottom style="medium">
        <color rgb="FFE5A72B"/>
      </bottom>
      <diagonal/>
    </border>
    <border>
      <left style="dotted">
        <color rgb="FF18A8B8"/>
      </left>
      <right style="dotted">
        <color rgb="FF18A8B8"/>
      </right>
      <top style="dotted">
        <color rgb="FF18A8B8"/>
      </top>
      <bottom style="dotted">
        <color rgb="FF18A8B8"/>
      </bottom>
      <diagonal/>
    </border>
    <border>
      <left/>
      <right/>
      <top style="dotted">
        <color rgb="FFD75452"/>
      </top>
      <bottom style="dotted">
        <color rgb="FFD75452"/>
      </bottom>
      <diagonal/>
    </border>
    <border>
      <left/>
      <right/>
      <top style="dotted">
        <color rgb="FFD75452"/>
      </top>
      <bottom style="dotted">
        <color rgb="FFD7545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1F78B4"/>
      </left>
      <right style="thin">
        <color rgb="FF1F78B4"/>
      </right>
      <top style="thin">
        <color rgb="FF1F78B4"/>
      </top>
      <bottom style="thin">
        <color rgb="FF1F78B4"/>
      </bottom>
      <diagonal/>
    </border>
    <border>
      <left style="medium">
        <color rgb="FF4F9A6E"/>
      </left>
      <right/>
      <top style="medium">
        <color rgb="FF4F9A6E"/>
      </top>
      <bottom/>
      <diagonal/>
    </border>
    <border>
      <left/>
      <right/>
      <top/>
      <bottom style="thin">
        <color rgb="FFDDE8E1"/>
      </bottom>
      <diagonal/>
    </border>
    <border>
      <left style="medium">
        <color rgb="FF4F9A6E"/>
      </left>
      <right/>
      <top/>
      <bottom style="medium">
        <color rgb="FF4F9A6E"/>
      </bottom>
      <diagonal/>
    </border>
    <border>
      <left/>
      <right/>
      <top/>
      <bottom style="medium">
        <color rgb="FF4F9A6E"/>
      </bottom>
      <diagonal/>
    </border>
    <border>
      <left/>
      <right style="medium">
        <color rgb="FF4F9A6E"/>
      </right>
      <top/>
      <bottom style="medium">
        <color rgb="FF4F9A6E"/>
      </bottom>
      <diagonal/>
    </border>
    <border>
      <left/>
      <right/>
      <top style="thin">
        <color rgb="FFDDE8E1"/>
      </top>
      <bottom style="thin">
        <color rgb="FFDDE8E1"/>
      </bottom>
      <diagonal/>
    </border>
    <border>
      <left/>
      <right style="medium">
        <color rgb="FFE5A72B"/>
      </right>
      <top style="medium">
        <color rgb="FFE5A72B"/>
      </top>
      <bottom/>
      <diagonal/>
    </border>
    <border>
      <left style="medium">
        <color rgb="FFE5A72B"/>
      </left>
      <right/>
      <top/>
      <bottom style="medium">
        <color rgb="FFE5A72B"/>
      </bottom>
      <diagonal/>
    </border>
    <border>
      <left/>
      <right/>
      <top/>
      <bottom style="medium">
        <color rgb="FFE5A72B"/>
      </bottom>
      <diagonal/>
    </border>
    <border>
      <left/>
      <right style="medium">
        <color rgb="FFE5A72B"/>
      </right>
      <top/>
      <bottom style="medium">
        <color rgb="FFE5A72B"/>
      </bottom>
      <diagonal/>
    </border>
    <border>
      <left/>
      <right/>
      <top style="thin">
        <color rgb="FFDDE8E1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E5A72B"/>
      </left>
      <right/>
      <top/>
      <bottom/>
      <diagonal/>
    </border>
    <border>
      <left/>
      <right style="thin">
        <color rgb="FFE5A72B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BD5E1"/>
      </left>
      <right style="thin">
        <color rgb="FFCBD5E1"/>
      </right>
      <top/>
      <bottom style="thin">
        <color rgb="FFCBD5E1"/>
      </bottom>
      <diagonal/>
    </border>
    <border>
      <left/>
      <right/>
      <top/>
      <bottom style="thin">
        <color rgb="FFE5EAF0"/>
      </bottom>
      <diagonal/>
    </border>
    <border>
      <left/>
      <right/>
      <top style="thin">
        <color rgb="FFE5EAF0"/>
      </top>
      <bottom style="thin">
        <color rgb="FFE5EAF0"/>
      </bottom>
      <diagonal/>
    </border>
    <border>
      <left/>
      <right/>
      <top style="thin">
        <color rgb="FFE5EAF0"/>
      </top>
      <bottom/>
      <diagonal/>
    </border>
    <border>
      <left style="thin">
        <color rgb="FFE0E6EC"/>
      </left>
      <right style="thin">
        <color rgb="FFE0E6EC"/>
      </right>
      <top style="thin">
        <color rgb="FFE0E6EC"/>
      </top>
      <bottom style="thin">
        <color rgb="FFE0E6EC"/>
      </bottom>
      <diagonal/>
    </border>
    <border>
      <left/>
      <right/>
      <top style="thin">
        <color rgb="FFCBD5E1"/>
      </top>
      <bottom/>
      <diagonal/>
    </border>
  </borders>
  <cellStyleXfs count="3">
    <xf numFmtId="0" fontId="0" fillId="0" borderId="0"/>
    <xf numFmtId="0" fontId="1" fillId="0" borderId="94"/>
    <xf numFmtId="0" fontId="42" fillId="0" borderId="0" applyNumberFormat="0" applyFill="0" applyBorder="0" applyAlignment="0" applyProtection="0"/>
  </cellStyleXfs>
  <cellXfs count="189">
    <xf numFmtId="0" fontId="0" fillId="0" borderId="0" xfId="0"/>
    <xf numFmtId="0" fontId="1" fillId="2" borderId="1" xfId="0" applyFont="1" applyFill="1" applyBorder="1"/>
    <xf numFmtId="0" fontId="11" fillId="5" borderId="86" xfId="0" applyFont="1" applyFill="1" applyBorder="1" applyAlignment="1">
      <alignment horizontal="center" vertical="center"/>
    </xf>
    <xf numFmtId="0" fontId="11" fillId="6" borderId="87" xfId="0" applyFont="1" applyFill="1" applyBorder="1" applyAlignment="1">
      <alignment horizontal="center" vertical="center"/>
    </xf>
    <xf numFmtId="0" fontId="11" fillId="8" borderId="88" xfId="0" applyFont="1" applyFill="1" applyBorder="1" applyAlignment="1">
      <alignment horizontal="center" vertical="center"/>
    </xf>
    <xf numFmtId="0" fontId="12" fillId="9" borderId="86" xfId="0" applyFont="1" applyFill="1" applyBorder="1" applyAlignment="1">
      <alignment horizontal="center" vertical="center" wrapText="1"/>
    </xf>
    <xf numFmtId="0" fontId="12" fillId="10" borderId="87" xfId="0" applyFont="1" applyFill="1" applyBorder="1" applyAlignment="1">
      <alignment horizontal="center" vertical="center" wrapText="1"/>
    </xf>
    <xf numFmtId="0" fontId="12" fillId="12" borderId="88" xfId="0" applyFont="1" applyFill="1" applyBorder="1" applyAlignment="1">
      <alignment horizontal="center" vertical="center" wrapText="1"/>
    </xf>
    <xf numFmtId="0" fontId="12" fillId="11" borderId="89" xfId="0" applyFont="1" applyFill="1" applyBorder="1" applyAlignment="1">
      <alignment horizontal="center" vertical="center" wrapText="1"/>
    </xf>
    <xf numFmtId="0" fontId="12" fillId="15" borderId="90" xfId="0" applyFont="1" applyFill="1" applyBorder="1" applyAlignment="1">
      <alignment horizontal="center" vertical="center" wrapText="1"/>
    </xf>
    <xf numFmtId="0" fontId="12" fillId="13" borderId="86" xfId="0" applyFont="1" applyFill="1" applyBorder="1" applyAlignment="1">
      <alignment horizontal="center" vertical="center" wrapText="1"/>
    </xf>
    <xf numFmtId="0" fontId="12" fillId="13" borderId="87" xfId="0" applyFont="1" applyFill="1" applyBorder="1" applyAlignment="1">
      <alignment horizontal="center" vertical="center" wrapText="1"/>
    </xf>
    <xf numFmtId="0" fontId="12" fillId="13" borderId="88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5" fillId="0" borderId="0" xfId="0" applyFont="1"/>
    <xf numFmtId="0" fontId="10" fillId="0" borderId="0" xfId="0" applyFont="1" applyAlignment="1">
      <alignment vertical="center" wrapText="1"/>
    </xf>
    <xf numFmtId="0" fontId="11" fillId="6" borderId="1" xfId="0" applyFont="1" applyFill="1" applyBorder="1"/>
    <xf numFmtId="0" fontId="11" fillId="0" borderId="0" xfId="0" applyFont="1"/>
    <xf numFmtId="0" fontId="16" fillId="9" borderId="1" xfId="0" applyFont="1" applyFill="1" applyBorder="1" applyAlignment="1">
      <alignment horizontal="center" vertical="center"/>
    </xf>
    <xf numFmtId="0" fontId="6" fillId="13" borderId="95" xfId="0" applyFont="1" applyFill="1" applyBorder="1" applyAlignment="1">
      <alignment vertical="center" wrapText="1"/>
    </xf>
    <xf numFmtId="0" fontId="6" fillId="10" borderId="97" xfId="0" applyFont="1" applyFill="1" applyBorder="1" applyAlignment="1">
      <alignment vertical="center" wrapText="1"/>
    </xf>
    <xf numFmtId="0" fontId="6" fillId="10" borderId="101" xfId="0" applyFont="1" applyFill="1" applyBorder="1" applyAlignment="1">
      <alignment vertical="center" wrapText="1"/>
    </xf>
    <xf numFmtId="0" fontId="6" fillId="10" borderId="106" xfId="0" applyFont="1" applyFill="1" applyBorder="1" applyAlignment="1">
      <alignment vertical="center" wrapText="1"/>
    </xf>
    <xf numFmtId="0" fontId="5" fillId="19" borderId="107" xfId="0" applyFont="1" applyFill="1" applyBorder="1" applyAlignment="1">
      <alignment horizontal="center" vertical="center" wrapText="1"/>
    </xf>
    <xf numFmtId="0" fontId="22" fillId="0" borderId="107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5" fillId="5" borderId="113" xfId="0" applyFont="1" applyFill="1" applyBorder="1" applyAlignment="1">
      <alignment horizontal="center" vertical="center"/>
    </xf>
    <xf numFmtId="0" fontId="25" fillId="5" borderId="113" xfId="0" applyFont="1" applyFill="1" applyBorder="1" applyAlignment="1">
      <alignment horizontal="center" vertical="center" wrapText="1"/>
    </xf>
    <xf numFmtId="0" fontId="5" fillId="5" borderId="113" xfId="0" applyFont="1" applyFill="1" applyBorder="1" applyAlignment="1">
      <alignment horizontal="center" vertical="center" wrapText="1"/>
    </xf>
    <xf numFmtId="0" fontId="26" fillId="9" borderId="114" xfId="0" applyFont="1" applyFill="1" applyBorder="1" applyAlignment="1">
      <alignment horizontal="center" vertical="center"/>
    </xf>
    <xf numFmtId="0" fontId="27" fillId="13" borderId="114" xfId="0" applyFont="1" applyFill="1" applyBorder="1" applyAlignment="1">
      <alignment horizontal="center" vertical="center" wrapText="1"/>
    </xf>
    <xf numFmtId="0" fontId="28" fillId="18" borderId="114" xfId="0" applyFont="1" applyFill="1" applyBorder="1" applyAlignment="1">
      <alignment horizontal="center" vertical="center" wrapText="1"/>
    </xf>
    <xf numFmtId="0" fontId="27" fillId="13" borderId="114" xfId="0" applyFont="1" applyFill="1" applyBorder="1" applyAlignment="1">
      <alignment vertical="center" wrapText="1"/>
    </xf>
    <xf numFmtId="0" fontId="26" fillId="9" borderId="107" xfId="0" applyFont="1" applyFill="1" applyBorder="1" applyAlignment="1">
      <alignment horizontal="center" vertical="center"/>
    </xf>
    <xf numFmtId="0" fontId="27" fillId="13" borderId="107" xfId="0" applyFont="1" applyFill="1" applyBorder="1" applyAlignment="1">
      <alignment horizontal="center" vertical="center" wrapText="1"/>
    </xf>
    <xf numFmtId="0" fontId="28" fillId="18" borderId="107" xfId="0" applyFont="1" applyFill="1" applyBorder="1" applyAlignment="1">
      <alignment horizontal="center" vertical="center" wrapText="1"/>
    </xf>
    <xf numFmtId="0" fontId="27" fillId="13" borderId="107" xfId="0" applyFont="1" applyFill="1" applyBorder="1" applyAlignment="1">
      <alignment vertical="center" wrapText="1"/>
    </xf>
    <xf numFmtId="0" fontId="1" fillId="0" borderId="113" xfId="0" applyFont="1" applyBorder="1" applyAlignment="1">
      <alignment horizontal="center"/>
    </xf>
    <xf numFmtId="0" fontId="1" fillId="0" borderId="113" xfId="0" applyFont="1" applyBorder="1"/>
    <xf numFmtId="0" fontId="26" fillId="10" borderId="114" xfId="0" applyFont="1" applyFill="1" applyBorder="1" applyAlignment="1">
      <alignment horizontal="center" vertical="center"/>
    </xf>
    <xf numFmtId="0" fontId="26" fillId="10" borderId="107" xfId="0" applyFont="1" applyFill="1" applyBorder="1" applyAlignment="1">
      <alignment horizontal="center" vertical="center"/>
    </xf>
    <xf numFmtId="0" fontId="26" fillId="12" borderId="114" xfId="0" applyFont="1" applyFill="1" applyBorder="1" applyAlignment="1">
      <alignment horizontal="center" vertical="center"/>
    </xf>
    <xf numFmtId="0" fontId="26" fillId="12" borderId="107" xfId="0" applyFont="1" applyFill="1" applyBorder="1" applyAlignment="1">
      <alignment horizontal="center" vertical="center"/>
    </xf>
    <xf numFmtId="0" fontId="26" fillId="11" borderId="114" xfId="0" applyFont="1" applyFill="1" applyBorder="1" applyAlignment="1">
      <alignment horizontal="center" vertical="center"/>
    </xf>
    <xf numFmtId="0" fontId="26" fillId="11" borderId="107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6" fillId="9" borderId="107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 wrapText="1"/>
    </xf>
    <xf numFmtId="0" fontId="22" fillId="0" borderId="107" xfId="0" applyFont="1" applyBorder="1" applyAlignment="1">
      <alignment horizontal="center" vertical="top" wrapText="1"/>
    </xf>
    <xf numFmtId="0" fontId="31" fillId="0" borderId="0" xfId="0" applyFont="1"/>
    <xf numFmtId="0" fontId="5" fillId="3" borderId="107" xfId="0" applyFont="1" applyFill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top" wrapText="1"/>
    </xf>
    <xf numFmtId="0" fontId="22" fillId="0" borderId="115" xfId="0" applyFont="1" applyBorder="1" applyAlignment="1">
      <alignment vertical="top" wrapText="1"/>
    </xf>
    <xf numFmtId="0" fontId="22" fillId="0" borderId="116" xfId="0" applyFont="1" applyBorder="1" applyAlignment="1">
      <alignment horizontal="center" vertical="top" wrapText="1"/>
    </xf>
    <xf numFmtId="0" fontId="22" fillId="0" borderId="116" xfId="0" applyFont="1" applyBorder="1" applyAlignment="1">
      <alignment vertical="top" wrapText="1"/>
    </xf>
    <xf numFmtId="0" fontId="22" fillId="0" borderId="117" xfId="0" applyFont="1" applyBorder="1" applyAlignment="1">
      <alignment horizontal="center" vertical="top" wrapText="1"/>
    </xf>
    <xf numFmtId="0" fontId="22" fillId="0" borderId="117" xfId="0" applyFont="1" applyBorder="1" applyAlignment="1">
      <alignment vertical="top" wrapText="1"/>
    </xf>
    <xf numFmtId="0" fontId="5" fillId="3" borderId="118" xfId="0" applyFont="1" applyFill="1" applyBorder="1" applyAlignment="1">
      <alignment horizontal="center" vertical="top" wrapText="1"/>
    </xf>
    <xf numFmtId="0" fontId="1" fillId="0" borderId="118" xfId="0" applyFont="1" applyBorder="1" applyAlignment="1">
      <alignment vertical="top" wrapText="1"/>
    </xf>
    <xf numFmtId="0" fontId="3" fillId="0" borderId="4" xfId="0" applyFont="1" applyBorder="1"/>
    <xf numFmtId="0" fontId="3" fillId="0" borderId="6" xfId="0" applyFont="1" applyBorder="1"/>
    <xf numFmtId="0" fontId="3" fillId="0" borderId="9" xfId="0" applyFont="1" applyBorder="1"/>
    <xf numFmtId="0" fontId="1" fillId="0" borderId="119" xfId="0" applyFont="1" applyBorder="1" applyAlignment="1">
      <alignment horizontal="center"/>
    </xf>
    <xf numFmtId="0" fontId="1" fillId="0" borderId="94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43" fillId="2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9" fillId="3" borderId="10" xfId="0" applyFont="1" applyFill="1" applyBorder="1" applyAlignment="1">
      <alignment horizontal="left" vertical="center"/>
    </xf>
    <xf numFmtId="0" fontId="3" fillId="0" borderId="11" xfId="0" applyFont="1" applyBorder="1"/>
    <xf numFmtId="0" fontId="3" fillId="0" borderId="85" xfId="0" applyFont="1" applyBorder="1"/>
    <xf numFmtId="0" fontId="0" fillId="0" borderId="0" xfId="0"/>
    <xf numFmtId="0" fontId="10" fillId="0" borderId="0" xfId="0" applyFont="1" applyAlignment="1">
      <alignment vertical="center"/>
    </xf>
    <xf numFmtId="0" fontId="13" fillId="13" borderId="91" xfId="0" applyFont="1" applyFill="1" applyBorder="1" applyAlignment="1">
      <alignment horizontal="center" vertical="center"/>
    </xf>
    <xf numFmtId="0" fontId="3" fillId="0" borderId="92" xfId="0" applyFont="1" applyBorder="1"/>
    <xf numFmtId="0" fontId="14" fillId="16" borderId="10" xfId="0" applyFont="1" applyFill="1" applyBorder="1" applyAlignment="1">
      <alignment vertical="center" wrapText="1"/>
    </xf>
    <xf numFmtId="0" fontId="6" fillId="13" borderId="69" xfId="0" applyFont="1" applyFill="1" applyBorder="1" applyAlignment="1">
      <alignment horizontal="left" vertical="center" wrapText="1"/>
    </xf>
    <xf numFmtId="0" fontId="3" fillId="0" borderId="70" xfId="0" applyFont="1" applyBorder="1"/>
    <xf numFmtId="0" fontId="3" fillId="0" borderId="71" xfId="0" applyFont="1" applyBorder="1"/>
    <xf numFmtId="0" fontId="3" fillId="0" borderId="75" xfId="0" applyFont="1" applyBorder="1"/>
    <xf numFmtId="0" fontId="3" fillId="0" borderId="76" xfId="0" applyFont="1" applyBorder="1"/>
    <xf numFmtId="0" fontId="3" fillId="0" borderId="79" xfId="0" applyFont="1" applyBorder="1"/>
    <xf numFmtId="0" fontId="3" fillId="0" borderId="80" xfId="0" applyFont="1" applyBorder="1"/>
    <xf numFmtId="0" fontId="3" fillId="0" borderId="81" xfId="0" applyFont="1" applyBorder="1"/>
    <xf numFmtId="0" fontId="8" fillId="3" borderId="10" xfId="0" applyFont="1" applyFill="1" applyBorder="1" applyAlignment="1">
      <alignment horizontal="center" vertical="center" wrapText="1"/>
    </xf>
    <xf numFmtId="0" fontId="42" fillId="9" borderId="48" xfId="2" applyFill="1" applyBorder="1" applyAlignment="1">
      <alignment horizontal="center" vertical="center" wrapText="1"/>
    </xf>
    <xf numFmtId="0" fontId="3" fillId="0" borderId="49" xfId="0" applyFont="1" applyBorder="1"/>
    <xf numFmtId="0" fontId="3" fillId="0" borderId="50" xfId="0" applyFont="1" applyBorder="1"/>
    <xf numFmtId="0" fontId="6" fillId="9" borderId="38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3" fillId="0" borderId="40" xfId="0" applyFont="1" applyBorder="1"/>
    <xf numFmtId="0" fontId="3" fillId="0" borderId="44" xfId="0" applyFont="1" applyBorder="1"/>
    <xf numFmtId="0" fontId="3" fillId="0" borderId="45" xfId="0" applyFont="1" applyBorder="1"/>
    <xf numFmtId="0" fontId="42" fillId="10" borderId="51" xfId="2" applyFill="1" applyBorder="1" applyAlignment="1">
      <alignment horizontal="center" vertical="center" wrapText="1"/>
    </xf>
    <xf numFmtId="0" fontId="3" fillId="0" borderId="52" xfId="0" applyFont="1" applyBorder="1"/>
    <xf numFmtId="0" fontId="3" fillId="0" borderId="53" xfId="0" applyFont="1" applyBorder="1"/>
    <xf numFmtId="0" fontId="6" fillId="10" borderId="41" xfId="0" applyFont="1" applyFill="1" applyBorder="1" applyAlignment="1">
      <alignment horizontal="center" vertical="center" wrapText="1"/>
    </xf>
    <xf numFmtId="0" fontId="3" fillId="0" borderId="42" xfId="0" applyFont="1" applyBorder="1"/>
    <xf numFmtId="0" fontId="3" fillId="0" borderId="43" xfId="0" applyFont="1" applyBorder="1"/>
    <xf numFmtId="0" fontId="3" fillId="0" borderId="46" xfId="0" applyFont="1" applyBorder="1"/>
    <xf numFmtId="0" fontId="3" fillId="0" borderId="47" xfId="0" applyFont="1" applyBorder="1"/>
    <xf numFmtId="0" fontId="42" fillId="11" borderId="63" xfId="2" applyFill="1" applyBorder="1" applyAlignment="1">
      <alignment horizontal="center" vertical="center" wrapText="1"/>
    </xf>
    <xf numFmtId="0" fontId="3" fillId="0" borderId="64" xfId="0" applyFont="1" applyBorder="1"/>
    <xf numFmtId="0" fontId="3" fillId="0" borderId="65" xfId="0" applyFont="1" applyBorder="1"/>
    <xf numFmtId="0" fontId="6" fillId="11" borderId="54" xfId="0" applyFont="1" applyFill="1" applyBorder="1" applyAlignment="1">
      <alignment horizontal="center" vertical="center" wrapText="1"/>
    </xf>
    <xf numFmtId="0" fontId="3" fillId="0" borderId="55" xfId="0" applyFont="1" applyBorder="1"/>
    <xf numFmtId="0" fontId="3" fillId="0" borderId="56" xfId="0" applyFont="1" applyBorder="1"/>
    <xf numFmtId="0" fontId="3" fillId="0" borderId="60" xfId="0" applyFont="1" applyBorder="1"/>
    <xf numFmtId="0" fontId="3" fillId="0" borderId="61" xfId="0" applyFont="1" applyBorder="1"/>
    <xf numFmtId="0" fontId="42" fillId="12" borderId="66" xfId="2" applyFill="1" applyBorder="1" applyAlignment="1">
      <alignment horizontal="center" vertical="center" wrapText="1"/>
    </xf>
    <xf numFmtId="0" fontId="3" fillId="0" borderId="67" xfId="0" applyFont="1" applyBorder="1"/>
    <xf numFmtId="0" fontId="3" fillId="0" borderId="68" xfId="0" applyFont="1" applyBorder="1"/>
    <xf numFmtId="0" fontId="6" fillId="12" borderId="57" xfId="0" applyFont="1" applyFill="1" applyBorder="1" applyAlignment="1">
      <alignment horizontal="center" vertical="center" wrapText="1"/>
    </xf>
    <xf numFmtId="0" fontId="3" fillId="0" borderId="58" xfId="0" applyFont="1" applyBorder="1"/>
    <xf numFmtId="0" fontId="3" fillId="0" borderId="59" xfId="0" applyFont="1" applyBorder="1"/>
    <xf numFmtId="0" fontId="3" fillId="0" borderId="62" xfId="0" applyFont="1" applyBorder="1"/>
    <xf numFmtId="0" fontId="7" fillId="14" borderId="72" xfId="0" applyFont="1" applyFill="1" applyBorder="1" applyAlignment="1">
      <alignment horizontal="left" vertical="center" wrapText="1"/>
    </xf>
    <xf numFmtId="0" fontId="3" fillId="0" borderId="73" xfId="0" applyFont="1" applyBorder="1"/>
    <xf numFmtId="0" fontId="3" fillId="0" borderId="74" xfId="0" applyFont="1" applyBorder="1"/>
    <xf numFmtId="0" fontId="3" fillId="0" borderId="77" xfId="0" applyFont="1" applyBorder="1"/>
    <xf numFmtId="0" fontId="3" fillId="0" borderId="78" xfId="0" applyFont="1" applyBorder="1"/>
    <xf numFmtId="0" fontId="3" fillId="0" borderId="82" xfId="0" applyFont="1" applyBorder="1"/>
    <xf numFmtId="0" fontId="3" fillId="0" borderId="83" xfId="0" applyFont="1" applyBorder="1"/>
    <xf numFmtId="0" fontId="3" fillId="0" borderId="84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5" fillId="5" borderId="14" xfId="0" applyFont="1" applyFill="1" applyBorder="1" applyAlignment="1">
      <alignment horizontal="center" vertical="center"/>
    </xf>
    <xf numFmtId="0" fontId="3" fillId="0" borderId="15" xfId="0" applyFont="1" applyBorder="1"/>
    <xf numFmtId="0" fontId="3" fillId="0" borderId="16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5" fillId="8" borderId="23" xfId="0" applyFont="1" applyFill="1" applyBorder="1" applyAlignment="1">
      <alignment horizontal="center" vertical="center"/>
    </xf>
    <xf numFmtId="0" fontId="3" fillId="0" borderId="24" xfId="0" applyFont="1" applyBorder="1"/>
    <xf numFmtId="0" fontId="3" fillId="0" borderId="25" xfId="0" applyFont="1" applyBorder="1"/>
    <xf numFmtId="0" fontId="3" fillId="0" borderId="35" xfId="0" applyFont="1" applyBorder="1"/>
    <xf numFmtId="0" fontId="3" fillId="0" borderId="36" xfId="0" applyFont="1" applyBorder="1"/>
    <xf numFmtId="0" fontId="3" fillId="0" borderId="37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9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/>
    </xf>
    <xf numFmtId="0" fontId="3" fillId="0" borderId="18" xfId="0" applyFont="1" applyBorder="1"/>
    <xf numFmtId="0" fontId="3" fillId="0" borderId="19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5" fillId="7" borderId="20" xfId="0" applyFont="1" applyFill="1" applyBorder="1" applyAlignment="1">
      <alignment horizontal="center" vertical="center"/>
    </xf>
    <xf numFmtId="0" fontId="3" fillId="0" borderId="21" xfId="0" applyFont="1" applyBorder="1"/>
    <xf numFmtId="0" fontId="3" fillId="0" borderId="22" xfId="0" applyFont="1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23" fillId="20" borderId="20" xfId="0" applyFont="1" applyFill="1" applyBorder="1" applyAlignment="1">
      <alignment vertical="center" wrapText="1"/>
    </xf>
    <xf numFmtId="0" fontId="3" fillId="0" borderId="108" xfId="0" applyFont="1" applyBorder="1"/>
    <xf numFmtId="0" fontId="3" fillId="0" borderId="109" xfId="0" applyFont="1" applyBorder="1"/>
    <xf numFmtId="0" fontId="11" fillId="5" borderId="93" xfId="0" applyFont="1" applyFill="1" applyBorder="1"/>
    <xf numFmtId="0" fontId="3" fillId="0" borderId="94" xfId="0" applyFont="1" applyBorder="1"/>
    <xf numFmtId="0" fontId="18" fillId="10" borderId="96" xfId="0" applyFont="1" applyFill="1" applyBorder="1" applyAlignment="1">
      <alignment horizontal="center" vertical="center"/>
    </xf>
    <xf numFmtId="0" fontId="3" fillId="0" borderId="98" xfId="0" applyFont="1" applyBorder="1"/>
    <xf numFmtId="0" fontId="3" fillId="0" borderId="99" xfId="0" applyFont="1" applyBorder="1"/>
    <xf numFmtId="0" fontId="3" fillId="0" borderId="100" xfId="0" applyFont="1" applyBorder="1"/>
    <xf numFmtId="0" fontId="19" fillId="10" borderId="93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0" fillId="17" borderId="93" xfId="0" applyFont="1" applyFill="1" applyBorder="1" applyAlignment="1">
      <alignment horizontal="center" vertical="center" wrapText="1"/>
    </xf>
    <xf numFmtId="0" fontId="20" fillId="11" borderId="54" xfId="0" applyFont="1" applyFill="1" applyBorder="1" applyAlignment="1">
      <alignment horizontal="center" vertical="center"/>
    </xf>
    <xf numFmtId="0" fontId="3" fillId="0" borderId="102" xfId="0" applyFont="1" applyBorder="1"/>
    <xf numFmtId="0" fontId="3" fillId="0" borderId="103" xfId="0" applyFont="1" applyBorder="1"/>
    <xf numFmtId="0" fontId="3" fillId="0" borderId="104" xfId="0" applyFont="1" applyBorder="1"/>
    <xf numFmtId="0" fontId="3" fillId="0" borderId="105" xfId="0" applyFont="1" applyBorder="1"/>
    <xf numFmtId="0" fontId="21" fillId="11" borderId="93" xfId="0" applyFont="1" applyFill="1" applyBorder="1" applyAlignment="1">
      <alignment horizontal="center" vertical="center"/>
    </xf>
    <xf numFmtId="0" fontId="11" fillId="8" borderId="93" xfId="0" applyFont="1" applyFill="1" applyBorder="1"/>
    <xf numFmtId="0" fontId="11" fillId="8" borderId="110" xfId="0" applyFont="1" applyFill="1" applyBorder="1" applyAlignment="1">
      <alignment horizontal="center" vertical="center"/>
    </xf>
    <xf numFmtId="0" fontId="3" fillId="0" borderId="111" xfId="0" applyFont="1" applyBorder="1"/>
    <xf numFmtId="0" fontId="3" fillId="0" borderId="112" xfId="0" applyFont="1" applyBorder="1"/>
    <xf numFmtId="0" fontId="11" fillId="7" borderId="110" xfId="0" applyFont="1" applyFill="1" applyBorder="1" applyAlignment="1">
      <alignment horizontal="center" vertical="center"/>
    </xf>
    <xf numFmtId="0" fontId="11" fillId="6" borderId="110" xfId="0" applyFont="1" applyFill="1" applyBorder="1" applyAlignment="1">
      <alignment horizontal="center" vertical="center"/>
    </xf>
    <xf numFmtId="0" fontId="11" fillId="5" borderId="110" xfId="0" applyFont="1" applyFill="1" applyBorder="1" applyAlignment="1">
      <alignment horizontal="center" vertical="center"/>
    </xf>
    <xf numFmtId="0" fontId="24" fillId="9" borderId="93" xfId="0" applyFont="1" applyFill="1" applyBorder="1" applyAlignment="1">
      <alignment horizontal="center" vertical="center" wrapText="1"/>
    </xf>
    <xf numFmtId="0" fontId="29" fillId="0" borderId="93" xfId="0" applyFont="1" applyBorder="1" applyAlignment="1">
      <alignment horizontal="center" vertical="center" wrapText="1"/>
    </xf>
    <xf numFmtId="0" fontId="30" fillId="6" borderId="93" xfId="0" applyFont="1" applyFill="1" applyBorder="1" applyAlignment="1">
      <alignment horizontal="center" vertical="center"/>
    </xf>
    <xf numFmtId="0" fontId="29" fillId="14" borderId="93" xfId="0" applyFont="1" applyFill="1" applyBorder="1" applyAlignment="1">
      <alignment horizontal="center" vertical="center" wrapText="1"/>
    </xf>
    <xf numFmtId="0" fontId="32" fillId="3" borderId="93" xfId="0" applyFont="1" applyFill="1" applyBorder="1" applyAlignment="1">
      <alignment horizontal="left" vertical="center"/>
    </xf>
    <xf numFmtId="0" fontId="10" fillId="17" borderId="93" xfId="0" applyFont="1" applyFill="1" applyBorder="1" applyAlignment="1">
      <alignment wrapText="1"/>
    </xf>
    <xf numFmtId="0" fontId="33" fillId="3" borderId="10" xfId="0" applyFont="1" applyFill="1" applyBorder="1" applyAlignment="1">
      <alignment vertical="center"/>
    </xf>
  </cellXfs>
  <cellStyles count="3">
    <cellStyle name="Hiperlink" xfId="2" builtinId="8"/>
    <cellStyle name="Normal" xfId="0" builtinId="0"/>
    <cellStyle name="Normal 2" xfId="1" xr:uid="{00000000-0005-0000-0000-000001000000}"/>
  </cellStyles>
  <dxfs count="14">
    <dxf>
      <font>
        <b/>
        <color rgb="FF8E1C22"/>
      </font>
      <fill>
        <patternFill patternType="solid">
          <bgColor rgb="FFF4A6A8"/>
        </patternFill>
      </fill>
    </dxf>
    <dxf>
      <font>
        <color rgb="FFA0A8B0"/>
      </font>
      <fill>
        <patternFill>
          <bgColor rgb="FFF4F6F8"/>
        </patternFill>
      </fill>
    </dxf>
    <dxf>
      <font>
        <b/>
        <color rgb="FF17633A"/>
      </font>
      <fill>
        <patternFill>
          <bgColor rgb="FFDDF3E5"/>
        </patternFill>
      </fill>
    </dxf>
    <dxf>
      <font>
        <b/>
        <color rgb="FF17633A"/>
      </font>
      <fill>
        <patternFill>
          <bgColor rgb="FFDDF3E5"/>
        </patternFill>
      </fill>
    </dxf>
    <dxf>
      <font>
        <b/>
        <color rgb="FF17633A"/>
      </font>
      <fill>
        <patternFill>
          <bgColor rgb="FFDDF3E5"/>
        </patternFill>
      </fill>
    </dxf>
    <dxf>
      <font>
        <b/>
        <color rgb="FF17633A"/>
      </font>
      <fill>
        <patternFill>
          <bgColor rgb="FFDDF3E5"/>
        </patternFill>
      </fill>
    </dxf>
    <dxf>
      <font>
        <b/>
        <color rgb="FF17633A"/>
      </font>
      <fill>
        <patternFill>
          <bgColor rgb="FFDDF3E5"/>
        </patternFill>
      </fill>
    </dxf>
    <dxf>
      <font>
        <b/>
        <color rgb="FF17633A"/>
      </font>
      <fill>
        <patternFill>
          <bgColor rgb="FFDDF3E5"/>
        </patternFill>
      </fill>
    </dxf>
    <dxf>
      <font>
        <b/>
        <color rgb="FF17633A"/>
      </font>
      <fill>
        <patternFill>
          <bgColor rgb="FFDDF3E5"/>
        </patternFill>
      </fill>
    </dxf>
    <dxf>
      <font>
        <b/>
        <color rgb="FF17633A"/>
      </font>
      <fill>
        <patternFill>
          <bgColor rgb="FFDDF3E5"/>
        </patternFill>
      </fill>
    </dxf>
    <dxf>
      <font>
        <b/>
        <color rgb="FF17633A"/>
      </font>
      <fill>
        <patternFill>
          <bgColor rgb="FFDDF3E5"/>
        </patternFill>
      </fill>
    </dxf>
    <dxf>
      <font>
        <b/>
        <color rgb="FF17633A"/>
      </font>
      <fill>
        <patternFill>
          <bgColor rgb="FFDDF3E5"/>
        </patternFill>
      </fill>
    </dxf>
    <dxf>
      <font>
        <b/>
        <color rgb="FF17324D"/>
      </font>
      <fill>
        <patternFill>
          <bgColor rgb="FFFFF7D6"/>
        </patternFill>
      </fill>
    </dxf>
    <dxf>
      <font>
        <color rgb="FFA0A8B0"/>
      </font>
      <fill>
        <patternFill>
          <bgColor rgb="FFF4F6F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28574</xdr:colOff>
      <xdr:row>1</xdr:row>
      <xdr:rowOff>180974</xdr:rowOff>
    </xdr:from>
    <xdr:to>
      <xdr:col>12</xdr:col>
      <xdr:colOff>295275</xdr:colOff>
      <xdr:row>3</xdr:row>
      <xdr:rowOff>95250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361950</xdr:colOff>
      <xdr:row>1</xdr:row>
      <xdr:rowOff>270404</xdr:rowOff>
    </xdr:from>
    <xdr:to>
      <xdr:col>12</xdr:col>
      <xdr:colOff>1582155</xdr:colOff>
      <xdr:row>3</xdr:row>
      <xdr:rowOff>13935</xdr:rowOff>
    </xdr:to>
    <xdr:pic>
      <xdr:nvPicPr>
        <xdr:cNvPr id="3" name="/xl/media/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J73">
  <tableColumns count="10">
    <tableColumn id="1" xr3:uid="{00000000-0010-0000-0000-000001000000}" name="Número"/>
    <tableColumn id="2" xr3:uid="{00000000-0010-0000-0000-000002000000}" name="Disciplina"/>
    <tableColumn id="3" xr3:uid="{00000000-0010-0000-0000-000003000000}" name="Período"/>
    <tableColumn id="4" xr3:uid="{00000000-0010-0000-0000-000004000000}" name="Pré-requisitos imediatos"/>
    <tableColumn id="5" xr3:uid="{00000000-0010-0000-0000-000005000000}" name="Correquisitos"/>
    <tableColumn id="6" xr3:uid="{00000000-0010-0000-0000-000006000000}" name="Cadeia de pré-requisitos"/>
    <tableColumn id="7" xr3:uid="{00000000-0010-0000-0000-000007000000}" name="Dependências completas"/>
    <tableColumn id="8" xr3:uid="{00000000-0010-0000-0000-000008000000}" name="Exigências de carga horária"/>
    <tableColumn id="9" xr3:uid="{00000000-0010-0000-0000-000009000000}" name="Chave de seleção"/>
    <tableColumn id="10" xr3:uid="{00000000-0010-0000-0000-00000A000000}" name="Selecionados que dependem deste componente"/>
  </tableColumns>
  <tableStyleInfo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5:J235">
  <tableColumns count="10">
    <tableColumn id="1" xr3:uid="{00000000-0010-0000-0100-000001000000}" name="Nº"/>
    <tableColumn id="2" xr3:uid="{00000000-0010-0000-0100-000002000000}" name="Período"/>
    <tableColumn id="3" xr3:uid="{00000000-0010-0000-0100-000003000000}" name="Sigla"/>
    <tableColumn id="4" xr3:uid="{00000000-0010-0000-0100-000004000000}" name="Disciplina"/>
    <tableColumn id="5" xr3:uid="{00000000-0010-0000-0100-000005000000}" name="Professor"/>
    <tableColumn id="6" xr3:uid="{00000000-0010-0000-0100-000006000000}" name="Local"/>
    <tableColumn id="7" xr3:uid="{00000000-0010-0000-0100-000007000000}" name="Dia"/>
    <tableColumn id="8" xr3:uid="{00000000-0010-0000-0100-000008000000}" name="Horário"/>
    <tableColumn id="9" xr3:uid="{00000000-0010-0000-0100-000009000000}" name="Exibição no quadro"/>
    <tableColumn id="10" xr3:uid="{00000000-0010-0000-0100-00000A000000}" name="Selecionada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showGridLines="0" tabSelected="1" workbookViewId="0">
      <selection activeCell="Q8" sqref="Q8"/>
    </sheetView>
  </sheetViews>
  <sheetFormatPr defaultColWidth="14.42578125" defaultRowHeight="15"/>
  <cols>
    <col min="1" max="1" width="3" customWidth="1"/>
    <col min="2" max="6" width="13" customWidth="1"/>
    <col min="7" max="7" width="17.7109375" customWidth="1"/>
    <col min="8" max="8" width="3.5703125" customWidth="1"/>
    <col min="9" max="9" width="2.140625" customWidth="1"/>
    <col min="10" max="10" width="27" customWidth="1"/>
    <col min="11" max="11" width="13" customWidth="1"/>
    <col min="12" max="12" width="5" customWidth="1"/>
    <col min="13" max="13" width="26" customWidth="1"/>
    <col min="14" max="14" width="3" customWidth="1"/>
  </cols>
  <sheetData>
    <row r="1" spans="1:14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customHeight="1">
      <c r="A2" s="1"/>
      <c r="B2" s="139" t="s">
        <v>0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59"/>
      <c r="N2" s="1"/>
    </row>
    <row r="3" spans="1:14" ht="27" customHeight="1">
      <c r="A3" s="1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60"/>
      <c r="N3" s="1"/>
    </row>
    <row r="4" spans="1:14" ht="27" customHeight="1">
      <c r="A4" s="1"/>
      <c r="B4" s="143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61"/>
      <c r="N4" s="1"/>
    </row>
    <row r="5" spans="1:14" ht="14.25" customHeight="1">
      <c r="A5" s="1"/>
      <c r="B5" s="124" t="s">
        <v>1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1"/>
    </row>
    <row r="6" spans="1:14" ht="9" customHeight="1">
      <c r="A6" s="1"/>
      <c r="B6" s="125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"/>
    </row>
    <row r="7" spans="1:14" ht="9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" customHeight="1">
      <c r="A8" s="1"/>
      <c r="B8" s="127" t="s">
        <v>2</v>
      </c>
      <c r="C8" s="128"/>
      <c r="D8" s="129"/>
      <c r="E8" s="145" t="s">
        <v>3</v>
      </c>
      <c r="F8" s="146"/>
      <c r="G8" s="147"/>
      <c r="H8" s="151" t="s">
        <v>4</v>
      </c>
      <c r="I8" s="152"/>
      <c r="J8" s="153"/>
      <c r="K8" s="133" t="s">
        <v>5</v>
      </c>
      <c r="L8" s="134"/>
      <c r="M8" s="135"/>
      <c r="N8" s="1"/>
    </row>
    <row r="9" spans="1:14" ht="9" customHeight="1">
      <c r="A9" s="1"/>
      <c r="B9" s="130"/>
      <c r="C9" s="131"/>
      <c r="D9" s="132"/>
      <c r="E9" s="148"/>
      <c r="F9" s="149"/>
      <c r="G9" s="150"/>
      <c r="H9" s="154"/>
      <c r="I9" s="155"/>
      <c r="J9" s="156"/>
      <c r="K9" s="136"/>
      <c r="L9" s="137"/>
      <c r="M9" s="138"/>
      <c r="N9" s="1"/>
    </row>
    <row r="10" spans="1:14" ht="6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" customHeight="1">
      <c r="A11" s="1"/>
      <c r="B11" s="88" t="s">
        <v>6</v>
      </c>
      <c r="C11" s="89"/>
      <c r="D11" s="89"/>
      <c r="E11" s="89"/>
      <c r="F11" s="89"/>
      <c r="G11" s="90"/>
      <c r="H11" s="96" t="s">
        <v>7</v>
      </c>
      <c r="I11" s="97"/>
      <c r="J11" s="97"/>
      <c r="K11" s="97"/>
      <c r="L11" s="97"/>
      <c r="M11" s="98"/>
      <c r="N11" s="1"/>
    </row>
    <row r="12" spans="1:14" ht="13.5" customHeight="1">
      <c r="A12" s="1"/>
      <c r="B12" s="91"/>
      <c r="C12" s="71"/>
      <c r="D12" s="71"/>
      <c r="E12" s="71"/>
      <c r="F12" s="71"/>
      <c r="G12" s="92"/>
      <c r="H12" s="99"/>
      <c r="I12" s="71"/>
      <c r="J12" s="71"/>
      <c r="K12" s="71"/>
      <c r="L12" s="71"/>
      <c r="M12" s="100"/>
      <c r="N12" s="1"/>
    </row>
    <row r="13" spans="1:14" ht="14.25" customHeight="1">
      <c r="A13" s="1"/>
      <c r="B13" s="91"/>
      <c r="C13" s="71"/>
      <c r="D13" s="71"/>
      <c r="E13" s="71"/>
      <c r="F13" s="71"/>
      <c r="G13" s="92"/>
      <c r="H13" s="99"/>
      <c r="I13" s="71"/>
      <c r="J13" s="71"/>
      <c r="K13" s="71"/>
      <c r="L13" s="71"/>
      <c r="M13" s="100"/>
      <c r="N13" s="1"/>
    </row>
    <row r="14" spans="1:14" ht="14.25" customHeight="1">
      <c r="A14" s="1"/>
      <c r="B14" s="91"/>
      <c r="C14" s="71"/>
      <c r="D14" s="71"/>
      <c r="E14" s="71"/>
      <c r="F14" s="71"/>
      <c r="G14" s="92"/>
      <c r="H14" s="99"/>
      <c r="I14" s="71"/>
      <c r="J14" s="71"/>
      <c r="K14" s="71"/>
      <c r="L14" s="71"/>
      <c r="M14" s="100"/>
      <c r="N14" s="1"/>
    </row>
    <row r="15" spans="1:14" ht="26.25" customHeight="1">
      <c r="A15" s="1"/>
      <c r="B15" s="91"/>
      <c r="C15" s="71"/>
      <c r="D15" s="71"/>
      <c r="E15" s="71"/>
      <c r="F15" s="71"/>
      <c r="G15" s="92"/>
      <c r="H15" s="99"/>
      <c r="I15" s="71"/>
      <c r="J15" s="71"/>
      <c r="K15" s="71"/>
      <c r="L15" s="71"/>
      <c r="M15" s="100"/>
      <c r="N15" s="1"/>
    </row>
    <row r="16" spans="1:14" ht="17.25" customHeight="1">
      <c r="A16" s="1"/>
      <c r="B16" s="85" t="str">
        <f>HYPERLINK("#'1 Fluxograma'!A1","CLIQUE  PARA   ABRIR  →" )</f>
        <v>CLIQUE  PARA   ABRIR  →</v>
      </c>
      <c r="C16" s="86"/>
      <c r="D16" s="86"/>
      <c r="E16" s="86"/>
      <c r="F16" s="86"/>
      <c r="G16" s="87"/>
      <c r="H16" s="93" t="str">
        <f>HYPERLINK("#'2 Consulta'!A1","CLIQUE PARA ABRIR  →" )</f>
        <v>CLIQUE PARA ABRIR  →</v>
      </c>
      <c r="I16" s="94"/>
      <c r="J16" s="94"/>
      <c r="K16" s="94"/>
      <c r="L16" s="94"/>
      <c r="M16" s="95"/>
      <c r="N16" s="1"/>
    </row>
    <row r="17" spans="1:14" ht="9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9.75" customHeight="1">
      <c r="A18" s="1"/>
      <c r="B18" s="104" t="s">
        <v>8</v>
      </c>
      <c r="C18" s="105"/>
      <c r="D18" s="105"/>
      <c r="E18" s="105"/>
      <c r="F18" s="105"/>
      <c r="G18" s="106"/>
      <c r="H18" s="112" t="s">
        <v>9</v>
      </c>
      <c r="I18" s="113"/>
      <c r="J18" s="113"/>
      <c r="K18" s="113"/>
      <c r="L18" s="113"/>
      <c r="M18" s="114"/>
      <c r="N18" s="1"/>
    </row>
    <row r="19" spans="1:14" ht="9" customHeight="1">
      <c r="A19" s="1"/>
      <c r="B19" s="107"/>
      <c r="C19" s="71"/>
      <c r="D19" s="71"/>
      <c r="E19" s="71"/>
      <c r="F19" s="71"/>
      <c r="G19" s="108"/>
      <c r="H19" s="115"/>
      <c r="I19" s="71"/>
      <c r="J19" s="71"/>
      <c r="K19" s="71"/>
      <c r="L19" s="71"/>
      <c r="M19" s="108"/>
      <c r="N19" s="1"/>
    </row>
    <row r="20" spans="1:14" ht="8.25" customHeight="1">
      <c r="A20" s="1"/>
      <c r="B20" s="107"/>
      <c r="C20" s="71"/>
      <c r="D20" s="71"/>
      <c r="E20" s="71"/>
      <c r="F20" s="71"/>
      <c r="G20" s="108"/>
      <c r="H20" s="115"/>
      <c r="I20" s="71"/>
      <c r="J20" s="71"/>
      <c r="K20" s="71"/>
      <c r="L20" s="71"/>
      <c r="M20" s="108"/>
      <c r="N20" s="1"/>
    </row>
    <row r="21" spans="1:14" ht="13.5" customHeight="1">
      <c r="A21" s="1"/>
      <c r="B21" s="107"/>
      <c r="C21" s="71"/>
      <c r="D21" s="71"/>
      <c r="E21" s="71"/>
      <c r="F21" s="71"/>
      <c r="G21" s="108"/>
      <c r="H21" s="115"/>
      <c r="I21" s="71"/>
      <c r="J21" s="71"/>
      <c r="K21" s="71"/>
      <c r="L21" s="71"/>
      <c r="M21" s="108"/>
      <c r="N21" s="1"/>
    </row>
    <row r="22" spans="1:14" ht="18" customHeight="1">
      <c r="A22" s="1"/>
      <c r="B22" s="107"/>
      <c r="C22" s="71"/>
      <c r="D22" s="71"/>
      <c r="E22" s="71"/>
      <c r="F22" s="71"/>
      <c r="G22" s="108"/>
      <c r="H22" s="115"/>
      <c r="I22" s="71"/>
      <c r="J22" s="71"/>
      <c r="K22" s="71"/>
      <c r="L22" s="71"/>
      <c r="M22" s="108"/>
      <c r="N22" s="1"/>
    </row>
    <row r="23" spans="1:14" ht="20.25" customHeight="1">
      <c r="A23" s="1"/>
      <c r="B23" s="101" t="str">
        <f>HYPERLINK("#'3 Horários e seleção'!A1","CLIQUE PARA ABRIR  →" )</f>
        <v>CLIQUE PARA ABRIR  →</v>
      </c>
      <c r="C23" s="102"/>
      <c r="D23" s="102"/>
      <c r="E23" s="102"/>
      <c r="F23" s="102"/>
      <c r="G23" s="103"/>
      <c r="H23" s="109" t="str">
        <f>HYPERLINK("#'4 Meu horário'!A1","CLIQUE PARA ABRIR  →" )</f>
        <v>CLIQUE PARA ABRIR  →</v>
      </c>
      <c r="I23" s="110"/>
      <c r="J23" s="110"/>
      <c r="K23" s="110"/>
      <c r="L23" s="110"/>
      <c r="M23" s="111"/>
      <c r="N23" s="1"/>
    </row>
    <row r="24" spans="1:14" ht="6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0.5" customHeight="1">
      <c r="A25" s="1"/>
      <c r="B25" s="76" t="s">
        <v>10</v>
      </c>
      <c r="C25" s="77"/>
      <c r="D25" s="77"/>
      <c r="E25" s="77"/>
      <c r="F25" s="77"/>
      <c r="G25" s="77"/>
      <c r="H25" s="78"/>
      <c r="I25" s="1"/>
      <c r="J25" s="116" t="s">
        <v>11</v>
      </c>
      <c r="K25" s="117"/>
      <c r="L25" s="117"/>
      <c r="M25" s="118"/>
      <c r="N25" s="1"/>
    </row>
    <row r="26" spans="1:14" ht="6" customHeight="1">
      <c r="A26" s="1"/>
      <c r="B26" s="79"/>
      <c r="C26" s="71"/>
      <c r="D26" s="71"/>
      <c r="E26" s="71"/>
      <c r="F26" s="71"/>
      <c r="G26" s="71"/>
      <c r="H26" s="80"/>
      <c r="I26" s="1"/>
      <c r="J26" s="119"/>
      <c r="K26" s="71"/>
      <c r="L26" s="71"/>
      <c r="M26" s="120"/>
      <c r="N26" s="1"/>
    </row>
    <row r="27" spans="1:14" ht="7.5" customHeight="1">
      <c r="A27" s="1"/>
      <c r="B27" s="79"/>
      <c r="C27" s="71"/>
      <c r="D27" s="71"/>
      <c r="E27" s="71"/>
      <c r="F27" s="71"/>
      <c r="G27" s="71"/>
      <c r="H27" s="80"/>
      <c r="I27" s="1"/>
      <c r="J27" s="119"/>
      <c r="K27" s="71"/>
      <c r="L27" s="71"/>
      <c r="M27" s="120"/>
      <c r="N27" s="1"/>
    </row>
    <row r="28" spans="1:14" ht="8.25" customHeight="1">
      <c r="A28" s="1"/>
      <c r="B28" s="79"/>
      <c r="C28" s="71"/>
      <c r="D28" s="71"/>
      <c r="E28" s="71"/>
      <c r="F28" s="71"/>
      <c r="G28" s="71"/>
      <c r="H28" s="80"/>
      <c r="I28" s="1"/>
      <c r="J28" s="119"/>
      <c r="K28" s="71"/>
      <c r="L28" s="71"/>
      <c r="M28" s="120"/>
      <c r="N28" s="1"/>
    </row>
    <row r="29" spans="1:14" ht="7.5" customHeight="1">
      <c r="A29" s="1"/>
      <c r="B29" s="79"/>
      <c r="C29" s="71"/>
      <c r="D29" s="71"/>
      <c r="E29" s="71"/>
      <c r="F29" s="71"/>
      <c r="G29" s="71"/>
      <c r="H29" s="80"/>
      <c r="I29" s="1"/>
      <c r="J29" s="119"/>
      <c r="K29" s="71"/>
      <c r="L29" s="71"/>
      <c r="M29" s="120"/>
      <c r="N29" s="1"/>
    </row>
    <row r="30" spans="1:14" ht="41.25" customHeight="1">
      <c r="A30" s="1"/>
      <c r="B30" s="79"/>
      <c r="C30" s="71"/>
      <c r="D30" s="71"/>
      <c r="E30" s="71"/>
      <c r="F30" s="71"/>
      <c r="G30" s="71"/>
      <c r="H30" s="80"/>
      <c r="I30" s="1"/>
      <c r="J30" s="119"/>
      <c r="K30" s="71"/>
      <c r="L30" s="71"/>
      <c r="M30" s="120"/>
      <c r="N30" s="1"/>
    </row>
    <row r="31" spans="1:14" ht="38.25" customHeight="1">
      <c r="A31" s="1"/>
      <c r="B31" s="81"/>
      <c r="C31" s="82"/>
      <c r="D31" s="82"/>
      <c r="E31" s="82"/>
      <c r="F31" s="82"/>
      <c r="G31" s="82"/>
      <c r="H31" s="83"/>
      <c r="I31" s="1"/>
      <c r="J31" s="121"/>
      <c r="K31" s="122"/>
      <c r="L31" s="122"/>
      <c r="M31" s="123"/>
      <c r="N31" s="1"/>
    </row>
    <row r="32" spans="1:14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.75" customHeight="1">
      <c r="A33" s="1"/>
      <c r="B33" s="84" t="s">
        <v>12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1"/>
    </row>
    <row r="34" spans="1:14" ht="14.25" customHeight="1">
      <c r="A34" s="1"/>
      <c r="B34" s="70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1"/>
    </row>
    <row r="35" spans="1:14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4.25" customHeight="1"/>
    <row r="37" spans="1:14" ht="14.25" customHeight="1"/>
    <row r="38" spans="1:14" ht="14.25" customHeight="1"/>
    <row r="39" spans="1:14" ht="14.25" customHeight="1"/>
    <row r="40" spans="1:14" ht="14.25" customHeight="1"/>
    <row r="41" spans="1:14" ht="14.25" customHeight="1"/>
    <row r="42" spans="1:14" ht="14.25" customHeight="1"/>
    <row r="43" spans="1:14" ht="14.25" customHeight="1"/>
    <row r="44" spans="1:14" ht="14.25" customHeight="1"/>
    <row r="45" spans="1:14" ht="14.25" customHeight="1"/>
    <row r="46" spans="1:14" ht="14.25" customHeight="1"/>
    <row r="47" spans="1:14" ht="14.25" customHeight="1"/>
    <row r="48" spans="1:14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7">
    <mergeCell ref="B5:M6"/>
    <mergeCell ref="B8:D9"/>
    <mergeCell ref="K8:M9"/>
    <mergeCell ref="B2:L4"/>
    <mergeCell ref="E8:G9"/>
    <mergeCell ref="H8:J9"/>
    <mergeCell ref="B25:H31"/>
    <mergeCell ref="B33:M34"/>
    <mergeCell ref="B16:G16"/>
    <mergeCell ref="B11:G15"/>
    <mergeCell ref="H16:M16"/>
    <mergeCell ref="H11:M15"/>
    <mergeCell ref="B23:G23"/>
    <mergeCell ref="B18:G22"/>
    <mergeCell ref="H23:M23"/>
    <mergeCell ref="H18:M22"/>
    <mergeCell ref="J25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100"/>
  <sheetViews>
    <sheetView showGridLines="0" zoomScale="85" zoomScaleNormal="85" workbookViewId="0">
      <selection activeCell="R12" sqref="R12"/>
    </sheetView>
  </sheetViews>
  <sheetFormatPr defaultColWidth="14.42578125" defaultRowHeight="15"/>
  <cols>
    <col min="1" max="1" width="2.28515625" customWidth="1"/>
    <col min="2" max="2" width="20.5703125" customWidth="1"/>
    <col min="3" max="3" width="2.28515625" customWidth="1"/>
    <col min="4" max="4" width="20.5703125" customWidth="1"/>
    <col min="5" max="5" width="2.28515625" customWidth="1"/>
    <col min="6" max="6" width="20.5703125" customWidth="1"/>
    <col min="7" max="7" width="2.28515625" customWidth="1"/>
    <col min="8" max="8" width="20.5703125" customWidth="1"/>
    <col min="9" max="9" width="2.28515625" customWidth="1"/>
    <col min="10" max="10" width="20.5703125" customWidth="1"/>
    <col min="11" max="11" width="2.28515625" customWidth="1"/>
    <col min="12" max="12" width="23.42578125" customWidth="1"/>
    <col min="13" max="13" width="2.28515625" customWidth="1"/>
    <col min="14" max="14" width="20.5703125" customWidth="1"/>
    <col min="15" max="15" width="2.28515625" customWidth="1"/>
    <col min="16" max="16" width="20.5703125" customWidth="1"/>
    <col min="17" max="17" width="2.28515625" customWidth="1"/>
    <col min="18" max="18" width="20.5703125" customWidth="1"/>
    <col min="19" max="19" width="2.28515625" customWidth="1"/>
    <col min="20" max="20" width="20.5703125" customWidth="1"/>
  </cols>
  <sheetData>
    <row r="1" spans="2:20" ht="14.25" customHeight="1">
      <c r="B1" s="68" t="s">
        <v>13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2:20" ht="14.25" customHeight="1">
      <c r="B2" s="70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2:20" ht="14.25" customHeight="1">
      <c r="B3" s="72" t="s">
        <v>14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2:20" ht="14.25" customHeight="1"/>
    <row r="5" spans="2:20" ht="14.25" customHeight="1">
      <c r="B5" s="2" t="s">
        <v>15</v>
      </c>
      <c r="D5" s="2" t="s">
        <v>16</v>
      </c>
      <c r="F5" s="2" t="s">
        <v>17</v>
      </c>
      <c r="H5" s="3" t="s">
        <v>18</v>
      </c>
      <c r="J5" s="3" t="s">
        <v>19</v>
      </c>
      <c r="L5" s="3" t="s">
        <v>20</v>
      </c>
      <c r="N5" s="3" t="s">
        <v>21</v>
      </c>
      <c r="P5" s="4" t="s">
        <v>22</v>
      </c>
      <c r="R5" s="4" t="s">
        <v>23</v>
      </c>
      <c r="T5" s="4" t="s">
        <v>24</v>
      </c>
    </row>
    <row r="6" spans="2:20" ht="14.25" customHeight="1"/>
    <row r="7" spans="2:20" ht="51.75" customHeight="1">
      <c r="D7" s="5" t="s">
        <v>25</v>
      </c>
      <c r="F7" s="5" t="s">
        <v>26</v>
      </c>
      <c r="H7" s="6" t="s">
        <v>27</v>
      </c>
      <c r="J7" s="6" t="s">
        <v>28</v>
      </c>
      <c r="L7" s="6" t="s">
        <v>29</v>
      </c>
      <c r="N7" s="6" t="s">
        <v>30</v>
      </c>
      <c r="P7" s="7" t="s">
        <v>31</v>
      </c>
      <c r="R7" s="7" t="s">
        <v>32</v>
      </c>
      <c r="T7" s="7" t="s">
        <v>33</v>
      </c>
    </row>
    <row r="8" spans="2:20" ht="51.75" customHeight="1">
      <c r="D8" s="5" t="s">
        <v>34</v>
      </c>
      <c r="F8" s="5" t="s">
        <v>35</v>
      </c>
      <c r="H8" s="6" t="s">
        <v>36</v>
      </c>
      <c r="J8" s="6" t="s">
        <v>37</v>
      </c>
      <c r="L8" s="8" t="s">
        <v>38</v>
      </c>
      <c r="N8" s="6" t="s">
        <v>39</v>
      </c>
      <c r="P8" s="7" t="s">
        <v>40</v>
      </c>
      <c r="R8" s="8" t="s">
        <v>41</v>
      </c>
      <c r="T8" s="7" t="s">
        <v>42</v>
      </c>
    </row>
    <row r="9" spans="2:20" ht="66.75" customHeight="1">
      <c r="D9" s="5" t="s">
        <v>43</v>
      </c>
      <c r="F9" s="5" t="s">
        <v>44</v>
      </c>
      <c r="H9" s="6" t="s">
        <v>45</v>
      </c>
      <c r="J9" s="6" t="s">
        <v>46</v>
      </c>
      <c r="L9" s="6" t="s">
        <v>47</v>
      </c>
      <c r="N9" s="6" t="s">
        <v>48</v>
      </c>
      <c r="P9" s="7" t="s">
        <v>49</v>
      </c>
      <c r="R9" s="9" t="s">
        <v>50</v>
      </c>
    </row>
    <row r="10" spans="2:20" ht="51.75" customHeight="1">
      <c r="D10" s="5" t="s">
        <v>51</v>
      </c>
      <c r="F10" s="5" t="s">
        <v>52</v>
      </c>
      <c r="H10" s="6" t="s">
        <v>53</v>
      </c>
      <c r="J10" s="6" t="s">
        <v>54</v>
      </c>
      <c r="L10" s="6" t="s">
        <v>55</v>
      </c>
      <c r="N10" s="6" t="s">
        <v>56</v>
      </c>
      <c r="P10" s="7" t="s">
        <v>57</v>
      </c>
    </row>
    <row r="11" spans="2:20" ht="51.75" customHeight="1">
      <c r="F11" s="5" t="s">
        <v>58</v>
      </c>
      <c r="H11" s="6" t="s">
        <v>59</v>
      </c>
      <c r="J11" s="6" t="s">
        <v>60</v>
      </c>
      <c r="L11" s="6" t="s">
        <v>61</v>
      </c>
      <c r="N11" s="6" t="s">
        <v>62</v>
      </c>
      <c r="P11" s="7" t="s">
        <v>63</v>
      </c>
    </row>
    <row r="12" spans="2:20" ht="69" customHeight="1">
      <c r="F12" s="5" t="s">
        <v>64</v>
      </c>
      <c r="J12" s="6" t="s">
        <v>65</v>
      </c>
      <c r="L12" s="6" t="s">
        <v>66</v>
      </c>
      <c r="P12" s="7" t="s">
        <v>67</v>
      </c>
    </row>
    <row r="13" spans="2:20" ht="51.75" customHeight="1">
      <c r="F13" s="5" t="s">
        <v>68</v>
      </c>
      <c r="J13" s="6" t="s">
        <v>69</v>
      </c>
      <c r="L13" s="6" t="s">
        <v>70</v>
      </c>
    </row>
    <row r="14" spans="2:20" ht="51.75" customHeight="1">
      <c r="J14" s="6" t="s">
        <v>71</v>
      </c>
    </row>
    <row r="15" spans="2:20" ht="8.25" customHeight="1"/>
    <row r="16" spans="2:20" ht="14.25" customHeight="1">
      <c r="B16" s="73" t="s">
        <v>72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</row>
    <row r="17" spans="2:20" ht="14.25" customHeight="1"/>
    <row r="18" spans="2:20" ht="48" customHeight="1">
      <c r="B18" s="10" t="s">
        <v>73</v>
      </c>
      <c r="D18" s="10" t="s">
        <v>74</v>
      </c>
      <c r="F18" s="10" t="s">
        <v>75</v>
      </c>
      <c r="H18" s="11" t="s">
        <v>76</v>
      </c>
      <c r="J18" s="9" t="s">
        <v>77</v>
      </c>
      <c r="L18" s="9" t="s">
        <v>78</v>
      </c>
      <c r="N18" s="11" t="s">
        <v>79</v>
      </c>
      <c r="P18" s="9" t="s">
        <v>80</v>
      </c>
      <c r="R18" s="12" t="s">
        <v>81</v>
      </c>
    </row>
    <row r="19" spans="2:20" ht="48" customHeight="1">
      <c r="B19" s="10" t="s">
        <v>82</v>
      </c>
      <c r="D19" s="10" t="s">
        <v>83</v>
      </c>
      <c r="H19" s="11" t="s">
        <v>84</v>
      </c>
      <c r="N19" s="9" t="s">
        <v>85</v>
      </c>
      <c r="R19" s="12" t="s">
        <v>86</v>
      </c>
    </row>
    <row r="20" spans="2:20" ht="48" customHeight="1">
      <c r="B20" s="10" t="s">
        <v>87</v>
      </c>
      <c r="D20" s="10" t="s">
        <v>88</v>
      </c>
      <c r="H20" s="9" t="s">
        <v>89</v>
      </c>
      <c r="R20" s="12" t="s">
        <v>90</v>
      </c>
    </row>
    <row r="21" spans="2:20" ht="48" customHeight="1">
      <c r="B21" s="10" t="s">
        <v>91</v>
      </c>
      <c r="R21" s="12" t="s">
        <v>92</v>
      </c>
    </row>
    <row r="22" spans="2:20" ht="48" customHeight="1">
      <c r="B22" s="10" t="s">
        <v>93</v>
      </c>
    </row>
    <row r="23" spans="2:20" ht="48" customHeight="1">
      <c r="B23" s="10" t="s">
        <v>94</v>
      </c>
    </row>
    <row r="24" spans="2:20" ht="14.25" customHeight="1"/>
    <row r="25" spans="2:20" ht="14.25" customHeight="1"/>
    <row r="26" spans="2:20" ht="14.25" customHeight="1"/>
    <row r="27" spans="2:20" ht="14.25" customHeight="1">
      <c r="B27" s="75" t="s">
        <v>95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</row>
    <row r="28" spans="2:20" ht="14.25" customHeight="1"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4.25" customHeight="1"/>
    <row r="30" spans="2:20" ht="14.25" customHeight="1"/>
    <row r="31" spans="2:20" ht="14.25" customHeight="1"/>
    <row r="32" spans="2:2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4">
    <mergeCell ref="B1:T2"/>
    <mergeCell ref="B3:T3"/>
    <mergeCell ref="B16:T16"/>
    <mergeCell ref="B27:T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0"/>
  <sheetViews>
    <sheetView showGridLines="0" workbookViewId="0">
      <selection activeCell="B6" sqref="B6"/>
    </sheetView>
  </sheetViews>
  <sheetFormatPr defaultColWidth="14.42578125" defaultRowHeight="15"/>
  <cols>
    <col min="1" max="1" width="24" customWidth="1"/>
    <col min="2" max="2" width="42" customWidth="1"/>
    <col min="3" max="3" width="7.42578125" customWidth="1"/>
    <col min="4" max="4" width="6.140625" customWidth="1"/>
    <col min="5" max="5" width="25.140625" customWidth="1"/>
    <col min="6" max="6" width="4" customWidth="1"/>
    <col min="7" max="7" width="3" customWidth="1"/>
    <col min="8" max="8" width="57.140625" customWidth="1"/>
    <col min="9" max="10" width="4" customWidth="1"/>
    <col min="11" max="14" width="8.7109375" customWidth="1"/>
    <col min="15" max="17" width="2" customWidth="1"/>
  </cols>
  <sheetData>
    <row r="1" spans="1:17" ht="14.25" customHeight="1">
      <c r="A1" s="167" t="s">
        <v>96</v>
      </c>
      <c r="B1" s="69"/>
      <c r="C1" s="69"/>
      <c r="D1" s="69"/>
      <c r="E1" s="69"/>
      <c r="F1" s="69"/>
      <c r="G1" s="69"/>
      <c r="H1" s="69"/>
      <c r="I1" s="13"/>
      <c r="J1" s="13"/>
      <c r="O1" s="14"/>
      <c r="P1" s="14"/>
    </row>
    <row r="2" spans="1:17" ht="14.25" customHeight="1">
      <c r="A2" s="70"/>
      <c r="B2" s="71"/>
      <c r="C2" s="71"/>
      <c r="D2" s="71"/>
      <c r="E2" s="71"/>
      <c r="F2" s="71"/>
      <c r="G2" s="71"/>
      <c r="H2" s="71"/>
      <c r="I2" s="13"/>
      <c r="J2" s="13"/>
      <c r="O2" s="14"/>
      <c r="P2" s="14"/>
      <c r="Q2" s="14" t="s">
        <v>97</v>
      </c>
    </row>
    <row r="3" spans="1:17" ht="14.25" customHeight="1">
      <c r="A3" s="168" t="s">
        <v>98</v>
      </c>
      <c r="B3" s="161"/>
      <c r="C3" s="161"/>
      <c r="D3" s="161"/>
      <c r="E3" s="161"/>
      <c r="F3" s="161"/>
      <c r="G3" s="161"/>
      <c r="H3" s="161"/>
      <c r="I3" s="15"/>
      <c r="J3" s="15"/>
      <c r="O3" s="14"/>
      <c r="P3" s="14"/>
      <c r="Q3" s="14" t="s">
        <v>99</v>
      </c>
    </row>
    <row r="4" spans="1:17" ht="14.25" customHeight="1">
      <c r="O4" s="14"/>
      <c r="P4" s="14"/>
      <c r="Q4" s="14" t="s">
        <v>100</v>
      </c>
    </row>
    <row r="5" spans="1:17" ht="14.25" customHeight="1">
      <c r="A5" s="160" t="s">
        <v>101</v>
      </c>
      <c r="B5" s="161"/>
      <c r="C5" s="161"/>
      <c r="D5" s="161"/>
      <c r="E5" s="161"/>
      <c r="F5" s="161"/>
      <c r="H5" s="16" t="s">
        <v>102</v>
      </c>
      <c r="I5" s="17"/>
      <c r="J5" s="17"/>
      <c r="O5" s="14"/>
      <c r="P5" s="14"/>
      <c r="Q5" s="14" t="s">
        <v>103</v>
      </c>
    </row>
    <row r="6" spans="1:17" ht="31.5" customHeight="1">
      <c r="A6" s="18" t="s">
        <v>104</v>
      </c>
      <c r="B6" s="19"/>
      <c r="C6" s="64" t="str">
        <f t="shared" ref="C6:C20" si="0">IFERROR(VALUE(LEFT(B6,FIND(" - ",B6)-1)),"")</f>
        <v/>
      </c>
      <c r="D6" s="162">
        <f>COUNTIF(B6:B20,"&lt;&gt;")</f>
        <v>0</v>
      </c>
      <c r="E6" s="97"/>
      <c r="F6" s="98"/>
      <c r="H6" s="20" t="str" cm="1">
        <f t="array" ref="H6">_xlfn._xlws.FILTER(P20:P88,P20:P88&lt;&gt;"","Nenhum componente adicional identificado")</f>
        <v>Nenhum componente adicional identificado</v>
      </c>
      <c r="O6" s="14"/>
      <c r="P6" s="14"/>
      <c r="Q6" s="14" t="s">
        <v>105</v>
      </c>
    </row>
    <row r="7" spans="1:17" ht="31.5" customHeight="1">
      <c r="A7" s="18" t="s">
        <v>106</v>
      </c>
      <c r="B7" s="19"/>
      <c r="C7" s="64" t="str">
        <f t="shared" si="0"/>
        <v/>
      </c>
      <c r="D7" s="163"/>
      <c r="E7" s="164"/>
      <c r="F7" s="165"/>
      <c r="H7" s="21"/>
      <c r="O7" s="14"/>
      <c r="P7" s="14"/>
      <c r="Q7" s="14" t="s">
        <v>107</v>
      </c>
    </row>
    <row r="8" spans="1:17" ht="31.5" customHeight="1">
      <c r="A8" s="18" t="s">
        <v>108</v>
      </c>
      <c r="B8" s="19"/>
      <c r="C8" s="64" t="str">
        <f t="shared" si="0"/>
        <v/>
      </c>
      <c r="D8" s="166" t="s">
        <v>109</v>
      </c>
      <c r="E8" s="161"/>
      <c r="F8" s="161"/>
      <c r="H8" s="21"/>
      <c r="O8" s="14"/>
      <c r="P8" s="14"/>
      <c r="Q8" s="14" t="s">
        <v>110</v>
      </c>
    </row>
    <row r="9" spans="1:17" ht="31.5" customHeight="1">
      <c r="A9" s="18" t="s">
        <v>111</v>
      </c>
      <c r="B9" s="19"/>
      <c r="C9" s="64" t="str">
        <f t="shared" si="0"/>
        <v/>
      </c>
      <c r="H9" s="21"/>
      <c r="O9" s="14"/>
      <c r="P9" s="14"/>
      <c r="Q9" s="14" t="s">
        <v>112</v>
      </c>
    </row>
    <row r="10" spans="1:17" ht="31.5" customHeight="1">
      <c r="A10" s="18" t="s">
        <v>113</v>
      </c>
      <c r="B10" s="19"/>
      <c r="C10" s="64" t="str">
        <f t="shared" si="0"/>
        <v/>
      </c>
      <c r="D10" s="169">
        <f>SUMPRODUCT(--(P20:P88&lt;&gt;""))</f>
        <v>0</v>
      </c>
      <c r="E10" s="105"/>
      <c r="F10" s="170"/>
      <c r="H10" s="21"/>
      <c r="O10" s="14"/>
      <c r="P10" s="14"/>
      <c r="Q10" s="14" t="s">
        <v>114</v>
      </c>
    </row>
    <row r="11" spans="1:17" ht="31.5" customHeight="1">
      <c r="A11" s="18" t="s">
        <v>115</v>
      </c>
      <c r="B11" s="19"/>
      <c r="C11" s="64" t="str">
        <f t="shared" si="0"/>
        <v/>
      </c>
      <c r="D11" s="171"/>
      <c r="E11" s="172"/>
      <c r="F11" s="173"/>
      <c r="H11" s="21"/>
      <c r="O11" s="14"/>
      <c r="P11" s="14"/>
      <c r="Q11" s="14" t="s">
        <v>116</v>
      </c>
    </row>
    <row r="12" spans="1:17" ht="31.5" customHeight="1">
      <c r="A12" s="18" t="s">
        <v>117</v>
      </c>
      <c r="B12" s="19"/>
      <c r="C12" s="64" t="str">
        <f t="shared" si="0"/>
        <v/>
      </c>
      <c r="D12" s="174" t="s">
        <v>118</v>
      </c>
      <c r="E12" s="161"/>
      <c r="F12" s="161"/>
      <c r="H12" s="21"/>
      <c r="O12" s="14"/>
      <c r="P12" s="14"/>
      <c r="Q12" s="14" t="s">
        <v>119</v>
      </c>
    </row>
    <row r="13" spans="1:17" ht="31.5" customHeight="1">
      <c r="A13" s="18" t="s">
        <v>120</v>
      </c>
      <c r="B13" s="19"/>
      <c r="C13" s="64" t="str">
        <f t="shared" si="0"/>
        <v/>
      </c>
      <c r="H13" s="21"/>
      <c r="O13" s="14"/>
      <c r="P13" s="14"/>
      <c r="Q13" s="14" t="s">
        <v>121</v>
      </c>
    </row>
    <row r="14" spans="1:17" ht="31.5" customHeight="1">
      <c r="A14" s="18" t="s">
        <v>122</v>
      </c>
      <c r="B14" s="19"/>
      <c r="C14" s="64" t="str">
        <f t="shared" si="0"/>
        <v/>
      </c>
      <c r="H14" s="21"/>
      <c r="O14" s="14"/>
      <c r="P14" s="14"/>
      <c r="Q14" s="14" t="s">
        <v>123</v>
      </c>
    </row>
    <row r="15" spans="1:17" ht="31.5" customHeight="1">
      <c r="A15" s="18" t="s">
        <v>124</v>
      </c>
      <c r="B15" s="19"/>
      <c r="C15" s="64" t="str">
        <f t="shared" si="0"/>
        <v/>
      </c>
      <c r="H15" s="21"/>
      <c r="O15" s="14"/>
      <c r="P15" s="14"/>
      <c r="Q15" s="14" t="s">
        <v>125</v>
      </c>
    </row>
    <row r="16" spans="1:17" ht="31.5" customHeight="1">
      <c r="A16" s="18" t="s">
        <v>126</v>
      </c>
      <c r="B16" s="19"/>
      <c r="C16" s="64" t="str">
        <f t="shared" si="0"/>
        <v/>
      </c>
      <c r="H16" s="21"/>
      <c r="O16" s="14"/>
      <c r="P16" s="14"/>
      <c r="Q16" s="14" t="s">
        <v>127</v>
      </c>
    </row>
    <row r="17" spans="1:17" ht="31.5" customHeight="1">
      <c r="A17" s="18" t="s">
        <v>128</v>
      </c>
      <c r="B17" s="19"/>
      <c r="C17" s="64" t="str">
        <f t="shared" si="0"/>
        <v/>
      </c>
      <c r="H17" s="21"/>
      <c r="O17" s="14"/>
      <c r="P17" s="14"/>
      <c r="Q17" s="14" t="s">
        <v>129</v>
      </c>
    </row>
    <row r="18" spans="1:17" ht="31.5" customHeight="1">
      <c r="A18" s="18" t="s">
        <v>130</v>
      </c>
      <c r="B18" s="19"/>
      <c r="C18" s="64" t="str">
        <f t="shared" si="0"/>
        <v/>
      </c>
      <c r="H18" s="21"/>
      <c r="O18" s="14"/>
      <c r="P18" s="14"/>
      <c r="Q18" s="14" t="s">
        <v>131</v>
      </c>
    </row>
    <row r="19" spans="1:17" ht="31.5" customHeight="1">
      <c r="A19" s="18" t="s">
        <v>132</v>
      </c>
      <c r="B19" s="19"/>
      <c r="C19" s="64" t="str">
        <f t="shared" si="0"/>
        <v/>
      </c>
      <c r="H19" s="21"/>
      <c r="O19" s="14"/>
      <c r="P19" s="14"/>
      <c r="Q19" s="14" t="s">
        <v>133</v>
      </c>
    </row>
    <row r="20" spans="1:17" ht="31.5" customHeight="1">
      <c r="A20" s="18" t="s">
        <v>134</v>
      </c>
      <c r="B20" s="19"/>
      <c r="C20" s="64" t="str">
        <f t="shared" si="0"/>
        <v/>
      </c>
      <c r="H20" s="21"/>
      <c r="O20" s="14">
        <v>1</v>
      </c>
      <c r="P20" s="14" t="str">
        <f>IF(OR(AND($C$6&lt;&gt;"",ISNUMBER(SEARCH("|"&amp;$C$6&amp;"|",'Base de dados'!$J$5))),AND($C$7&lt;&gt;"",ISNUMBER(SEARCH("|"&amp;$C$7&amp;"|",'Base de dados'!$J$5))),AND($C$8&lt;&gt;"",ISNUMBER(SEARCH("|"&amp;$C$8&amp;"|",'Base de dados'!$J$5))),AND($C$9&lt;&gt;"",ISNUMBER(SEARCH("|"&amp;$C$9&amp;"|",'Base de dados'!$J$5))),AND($C$10&lt;&gt;"",ISNUMBER(SEARCH("|"&amp;$C$10&amp;"|",'Base de dados'!$J$5))),AND($C$11&lt;&gt;"",ISNUMBER(SEARCH("|"&amp;$C$11&amp;"|",'Base de dados'!$J$5))),AND($C$12&lt;&gt;"",ISNUMBER(SEARCH("|"&amp;$C$12&amp;"|",'Base de dados'!$J$5))),AND($C$13&lt;&gt;"",ISNUMBER(SEARCH("|"&amp;$C$13&amp;"|",'Base de dados'!$J$5))),AND($C$14&lt;&gt;"",ISNUMBER(SEARCH("|"&amp;$C$14&amp;"|",'Base de dados'!$J$5))),AND($C$15&lt;&gt;"",ISNUMBER(SEARCH("|"&amp;$C$15&amp;"|",'Base de dados'!$J$5))),AND($C$16&lt;&gt;"",ISNUMBER(SEARCH("|"&amp;$C$16&amp;"|",'Base de dados'!$J$5))),AND($C$17&lt;&gt;"",ISNUMBER(SEARCH("|"&amp;$C$17&amp;"|",'Base de dados'!$J$5))),AND($C$18&lt;&gt;"",ISNUMBER(SEARCH("|"&amp;$C$18&amp;"|",'Base de dados'!$J$5))),AND($C$19&lt;&gt;"",ISNUMBER(SEARCH("|"&amp;$C$19&amp;"|",'Base de dados'!$J$5))),AND($C$20&lt;&gt;"",ISNUMBER(SEARCH("|"&amp;$C$20&amp;"|",'Base de dados'!$J$5)))),"1 - Introdução à Eng. Eletrônica e de Telecomunicações","")</f>
        <v/>
      </c>
      <c r="Q20" s="14" t="s">
        <v>135</v>
      </c>
    </row>
    <row r="21" spans="1:17" ht="16.5" customHeight="1">
      <c r="H21" s="21"/>
      <c r="O21" s="14">
        <v>2</v>
      </c>
      <c r="P21" s="14" t="str">
        <f>IF(OR(AND($C$6&lt;&gt;"",ISNUMBER(SEARCH("|"&amp;$C$6&amp;"|",'Base de dados'!$J$6))),AND($C$7&lt;&gt;"",ISNUMBER(SEARCH("|"&amp;$C$7&amp;"|",'Base de dados'!$J$6))),AND($C$8&lt;&gt;"",ISNUMBER(SEARCH("|"&amp;$C$8&amp;"|",'Base de dados'!$J$6))),AND($C$9&lt;&gt;"",ISNUMBER(SEARCH("|"&amp;$C$9&amp;"|",'Base de dados'!$J$6))),AND($C$10&lt;&gt;"",ISNUMBER(SEARCH("|"&amp;$C$10&amp;"|",'Base de dados'!$J$6))),AND($C$11&lt;&gt;"",ISNUMBER(SEARCH("|"&amp;$C$11&amp;"|",'Base de dados'!$J$6))),AND($C$12&lt;&gt;"",ISNUMBER(SEARCH("|"&amp;$C$12&amp;"|",'Base de dados'!$J$6))),AND($C$13&lt;&gt;"",ISNUMBER(SEARCH("|"&amp;$C$13&amp;"|",'Base de dados'!$J$6))),AND($C$14&lt;&gt;"",ISNUMBER(SEARCH("|"&amp;$C$14&amp;"|",'Base de dados'!$J$6))),AND($C$15&lt;&gt;"",ISNUMBER(SEARCH("|"&amp;$C$15&amp;"|",'Base de dados'!$J$6))),AND($C$16&lt;&gt;"",ISNUMBER(SEARCH("|"&amp;$C$16&amp;"|",'Base de dados'!$J$6))),AND($C$17&lt;&gt;"",ISNUMBER(SEARCH("|"&amp;$C$17&amp;"|",'Base de dados'!$J$6))),AND($C$18&lt;&gt;"",ISNUMBER(SEARCH("|"&amp;$C$18&amp;"|",'Base de dados'!$J$6))),AND($C$19&lt;&gt;"",ISNUMBER(SEARCH("|"&amp;$C$19&amp;"|",'Base de dados'!$J$6))),AND($C$20&lt;&gt;"",ISNUMBER(SEARCH("|"&amp;$C$20&amp;"|",'Base de dados'!$J$6)))),"2 - Química Tecnológica","")</f>
        <v/>
      </c>
      <c r="Q21" s="14" t="s">
        <v>136</v>
      </c>
    </row>
    <row r="22" spans="1:17" ht="21.75" customHeight="1">
      <c r="H22" s="21"/>
      <c r="O22" s="14">
        <v>3</v>
      </c>
      <c r="P22" s="14" t="str">
        <f>IF(OR(AND($C$6&lt;&gt;"",ISNUMBER(SEARCH("|"&amp;$C$6&amp;"|",'Base de dados'!$J$7))),AND($C$7&lt;&gt;"",ISNUMBER(SEARCH("|"&amp;$C$7&amp;"|",'Base de dados'!$J$7))),AND($C$8&lt;&gt;"",ISNUMBER(SEARCH("|"&amp;$C$8&amp;"|",'Base de dados'!$J$7))),AND($C$9&lt;&gt;"",ISNUMBER(SEARCH("|"&amp;$C$9&amp;"|",'Base de dados'!$J$7))),AND($C$10&lt;&gt;"",ISNUMBER(SEARCH("|"&amp;$C$10&amp;"|",'Base de dados'!$J$7))),AND($C$11&lt;&gt;"",ISNUMBER(SEARCH("|"&amp;$C$11&amp;"|",'Base de dados'!$J$7))),AND($C$12&lt;&gt;"",ISNUMBER(SEARCH("|"&amp;$C$12&amp;"|",'Base de dados'!$J$7))),AND($C$13&lt;&gt;"",ISNUMBER(SEARCH("|"&amp;$C$13&amp;"|",'Base de dados'!$J$7))),AND($C$14&lt;&gt;"",ISNUMBER(SEARCH("|"&amp;$C$14&amp;"|",'Base de dados'!$J$7))),AND($C$15&lt;&gt;"",ISNUMBER(SEARCH("|"&amp;$C$15&amp;"|",'Base de dados'!$J$7))),AND($C$16&lt;&gt;"",ISNUMBER(SEARCH("|"&amp;$C$16&amp;"|",'Base de dados'!$J$7))),AND($C$17&lt;&gt;"",ISNUMBER(SEARCH("|"&amp;$C$17&amp;"|",'Base de dados'!$J$7))),AND($C$18&lt;&gt;"",ISNUMBER(SEARCH("|"&amp;$C$18&amp;"|",'Base de dados'!$J$7))),AND($C$19&lt;&gt;"",ISNUMBER(SEARCH("|"&amp;$C$19&amp;"|",'Base de dados'!$J$7))),AND($C$20&lt;&gt;"",ISNUMBER(SEARCH("|"&amp;$C$20&amp;"|",'Base de dados'!$J$7)))),"3 - Expressão Gráfica","")</f>
        <v/>
      </c>
      <c r="Q22" s="14" t="s">
        <v>137</v>
      </c>
    </row>
    <row r="23" spans="1:17" ht="19.5" customHeight="1">
      <c r="H23" s="21"/>
      <c r="O23" s="14">
        <v>4</v>
      </c>
      <c r="P23" s="14" t="str">
        <f>IF(OR(AND($C$6&lt;&gt;"",ISNUMBER(SEARCH("|"&amp;$C$6&amp;"|",'Base de dados'!$J$8))),AND($C$7&lt;&gt;"",ISNUMBER(SEARCH("|"&amp;$C$7&amp;"|",'Base de dados'!$J$8))),AND($C$8&lt;&gt;"",ISNUMBER(SEARCH("|"&amp;$C$8&amp;"|",'Base de dados'!$J$8))),AND($C$9&lt;&gt;"",ISNUMBER(SEARCH("|"&amp;$C$9&amp;"|",'Base de dados'!$J$8))),AND($C$10&lt;&gt;"",ISNUMBER(SEARCH("|"&amp;$C$10&amp;"|",'Base de dados'!$J$8))),AND($C$11&lt;&gt;"",ISNUMBER(SEARCH("|"&amp;$C$11&amp;"|",'Base de dados'!$J$8))),AND($C$12&lt;&gt;"",ISNUMBER(SEARCH("|"&amp;$C$12&amp;"|",'Base de dados'!$J$8))),AND($C$13&lt;&gt;"",ISNUMBER(SEARCH("|"&amp;$C$13&amp;"|",'Base de dados'!$J$8))),AND($C$14&lt;&gt;"",ISNUMBER(SEARCH("|"&amp;$C$14&amp;"|",'Base de dados'!$J$8))),AND($C$15&lt;&gt;"",ISNUMBER(SEARCH("|"&amp;$C$15&amp;"|",'Base de dados'!$J$8))),AND($C$16&lt;&gt;"",ISNUMBER(SEARCH("|"&amp;$C$16&amp;"|",'Base de dados'!$J$8))),AND($C$17&lt;&gt;"",ISNUMBER(SEARCH("|"&amp;$C$17&amp;"|",'Base de dados'!$J$8))),AND($C$18&lt;&gt;"",ISNUMBER(SEARCH("|"&amp;$C$18&amp;"|",'Base de dados'!$J$8))),AND($C$19&lt;&gt;"",ISNUMBER(SEARCH("|"&amp;$C$19&amp;"|",'Base de dados'!$J$8))),AND($C$20&lt;&gt;"",ISNUMBER(SEARCH("|"&amp;$C$20&amp;"|",'Base de dados'!$J$8)))),"4 - Cálculo Diferencial e Integral I","")</f>
        <v/>
      </c>
      <c r="Q23" s="14" t="s">
        <v>138</v>
      </c>
    </row>
    <row r="24" spans="1:17" ht="26.25" customHeight="1">
      <c r="H24" s="21"/>
      <c r="O24" s="14">
        <v>5</v>
      </c>
      <c r="P24" s="14" t="str">
        <f>IF(OR(AND($C$6&lt;&gt;"",ISNUMBER(SEARCH("|"&amp;$C$6&amp;"|",'Base de dados'!$J$9))),AND($C$7&lt;&gt;"",ISNUMBER(SEARCH("|"&amp;$C$7&amp;"|",'Base de dados'!$J$9))),AND($C$8&lt;&gt;"",ISNUMBER(SEARCH("|"&amp;$C$8&amp;"|",'Base de dados'!$J$9))),AND($C$9&lt;&gt;"",ISNUMBER(SEARCH("|"&amp;$C$9&amp;"|",'Base de dados'!$J$9))),AND($C$10&lt;&gt;"",ISNUMBER(SEARCH("|"&amp;$C$10&amp;"|",'Base de dados'!$J$9))),AND($C$11&lt;&gt;"",ISNUMBER(SEARCH("|"&amp;$C$11&amp;"|",'Base de dados'!$J$9))),AND($C$12&lt;&gt;"",ISNUMBER(SEARCH("|"&amp;$C$12&amp;"|",'Base de dados'!$J$9))),AND($C$13&lt;&gt;"",ISNUMBER(SEARCH("|"&amp;$C$13&amp;"|",'Base de dados'!$J$9))),AND($C$14&lt;&gt;"",ISNUMBER(SEARCH("|"&amp;$C$14&amp;"|",'Base de dados'!$J$9))),AND($C$15&lt;&gt;"",ISNUMBER(SEARCH("|"&amp;$C$15&amp;"|",'Base de dados'!$J$9))),AND($C$16&lt;&gt;"",ISNUMBER(SEARCH("|"&amp;$C$16&amp;"|",'Base de dados'!$J$9))),AND($C$17&lt;&gt;"",ISNUMBER(SEARCH("|"&amp;$C$17&amp;"|",'Base de dados'!$J$9))),AND($C$18&lt;&gt;"",ISNUMBER(SEARCH("|"&amp;$C$18&amp;"|",'Base de dados'!$J$9))),AND($C$19&lt;&gt;"",ISNUMBER(SEARCH("|"&amp;$C$19&amp;"|",'Base de dados'!$J$9))),AND($C$20&lt;&gt;"",ISNUMBER(SEARCH("|"&amp;$C$20&amp;"|",'Base de dados'!$J$9)))),"5 - Álgebra Matricial e Geometria Analítica","")</f>
        <v/>
      </c>
      <c r="Q24" s="14" t="s">
        <v>139</v>
      </c>
    </row>
    <row r="25" spans="1:17" ht="21" customHeight="1">
      <c r="H25" s="21"/>
      <c r="O25" s="14">
        <v>6</v>
      </c>
      <c r="P25" s="14" t="str">
        <f>IF(OR(AND($C$6&lt;&gt;"",ISNUMBER(SEARCH("|"&amp;$C$6&amp;"|",'Base de dados'!$J$10))),AND($C$7&lt;&gt;"",ISNUMBER(SEARCH("|"&amp;$C$7&amp;"|",'Base de dados'!$J$10))),AND($C$8&lt;&gt;"",ISNUMBER(SEARCH("|"&amp;$C$8&amp;"|",'Base de dados'!$J$10))),AND($C$9&lt;&gt;"",ISNUMBER(SEARCH("|"&amp;$C$9&amp;"|",'Base de dados'!$J$10))),AND($C$10&lt;&gt;"",ISNUMBER(SEARCH("|"&amp;$C$10&amp;"|",'Base de dados'!$J$10))),AND($C$11&lt;&gt;"",ISNUMBER(SEARCH("|"&amp;$C$11&amp;"|",'Base de dados'!$J$10))),AND($C$12&lt;&gt;"",ISNUMBER(SEARCH("|"&amp;$C$12&amp;"|",'Base de dados'!$J$10))),AND($C$13&lt;&gt;"",ISNUMBER(SEARCH("|"&amp;$C$13&amp;"|",'Base de dados'!$J$10))),AND($C$14&lt;&gt;"",ISNUMBER(SEARCH("|"&amp;$C$14&amp;"|",'Base de dados'!$J$10))),AND($C$15&lt;&gt;"",ISNUMBER(SEARCH("|"&amp;$C$15&amp;"|",'Base de dados'!$J$10))),AND($C$16&lt;&gt;"",ISNUMBER(SEARCH("|"&amp;$C$16&amp;"|",'Base de dados'!$J$10))),AND($C$17&lt;&gt;"",ISNUMBER(SEARCH("|"&amp;$C$17&amp;"|",'Base de dados'!$J$10))),AND($C$18&lt;&gt;"",ISNUMBER(SEARCH("|"&amp;$C$18&amp;"|",'Base de dados'!$J$10))),AND($C$19&lt;&gt;"",ISNUMBER(SEARCH("|"&amp;$C$19&amp;"|",'Base de dados'!$J$10))),AND($C$20&lt;&gt;"",ISNUMBER(SEARCH("|"&amp;$C$20&amp;"|",'Base de dados'!$J$10)))),"6 - Introdução à Tecnologia da Computação","")</f>
        <v/>
      </c>
      <c r="Q25" s="14" t="s">
        <v>140</v>
      </c>
    </row>
    <row r="26" spans="1:17" ht="21.75" customHeight="1">
      <c r="H26" s="21"/>
      <c r="O26" s="14">
        <v>7</v>
      </c>
      <c r="P26" s="14" t="str">
        <f>IF(OR(AND($C$6&lt;&gt;"",ISNUMBER(SEARCH("|"&amp;$C$6&amp;"|",'Base de dados'!$J$11))),AND($C$7&lt;&gt;"",ISNUMBER(SEARCH("|"&amp;$C$7&amp;"|",'Base de dados'!$J$11))),AND($C$8&lt;&gt;"",ISNUMBER(SEARCH("|"&amp;$C$8&amp;"|",'Base de dados'!$J$11))),AND($C$9&lt;&gt;"",ISNUMBER(SEARCH("|"&amp;$C$9&amp;"|",'Base de dados'!$J$11))),AND($C$10&lt;&gt;"",ISNUMBER(SEARCH("|"&amp;$C$10&amp;"|",'Base de dados'!$J$11))),AND($C$11&lt;&gt;"",ISNUMBER(SEARCH("|"&amp;$C$11&amp;"|",'Base de dados'!$J$11))),AND($C$12&lt;&gt;"",ISNUMBER(SEARCH("|"&amp;$C$12&amp;"|",'Base de dados'!$J$11))),AND($C$13&lt;&gt;"",ISNUMBER(SEARCH("|"&amp;$C$13&amp;"|",'Base de dados'!$J$11))),AND($C$14&lt;&gt;"",ISNUMBER(SEARCH("|"&amp;$C$14&amp;"|",'Base de dados'!$J$11))),AND($C$15&lt;&gt;"",ISNUMBER(SEARCH("|"&amp;$C$15&amp;"|",'Base de dados'!$J$11))),AND($C$16&lt;&gt;"",ISNUMBER(SEARCH("|"&amp;$C$16&amp;"|",'Base de dados'!$J$11))),AND($C$17&lt;&gt;"",ISNUMBER(SEARCH("|"&amp;$C$17&amp;"|",'Base de dados'!$J$11))),AND($C$18&lt;&gt;"",ISNUMBER(SEARCH("|"&amp;$C$18&amp;"|",'Base de dados'!$J$11))),AND($C$19&lt;&gt;"",ISNUMBER(SEARCH("|"&amp;$C$19&amp;"|",'Base de dados'!$J$11))),AND($C$20&lt;&gt;"",ISNUMBER(SEARCH("|"&amp;$C$20&amp;"|",'Base de dados'!$J$11)))),"7 - Circuitos Elétricos I","")</f>
        <v/>
      </c>
      <c r="Q26" s="14" t="s">
        <v>141</v>
      </c>
    </row>
    <row r="27" spans="1:17" ht="24.75" customHeight="1">
      <c r="H27" s="21"/>
      <c r="O27" s="14">
        <v>8</v>
      </c>
      <c r="P27" s="14" t="str">
        <f>IF(OR(AND($C$6&lt;&gt;"",ISNUMBER(SEARCH("|"&amp;$C$6&amp;"|",'Base de dados'!$J$12))),AND($C$7&lt;&gt;"",ISNUMBER(SEARCH("|"&amp;$C$7&amp;"|",'Base de dados'!$J$12))),AND($C$8&lt;&gt;"",ISNUMBER(SEARCH("|"&amp;$C$8&amp;"|",'Base de dados'!$J$12))),AND($C$9&lt;&gt;"",ISNUMBER(SEARCH("|"&amp;$C$9&amp;"|",'Base de dados'!$J$12))),AND($C$10&lt;&gt;"",ISNUMBER(SEARCH("|"&amp;$C$10&amp;"|",'Base de dados'!$J$12))),AND($C$11&lt;&gt;"",ISNUMBER(SEARCH("|"&amp;$C$11&amp;"|",'Base de dados'!$J$12))),AND($C$12&lt;&gt;"",ISNUMBER(SEARCH("|"&amp;$C$12&amp;"|",'Base de dados'!$J$12))),AND($C$13&lt;&gt;"",ISNUMBER(SEARCH("|"&amp;$C$13&amp;"|",'Base de dados'!$J$12))),AND($C$14&lt;&gt;"",ISNUMBER(SEARCH("|"&amp;$C$14&amp;"|",'Base de dados'!$J$12))),AND($C$15&lt;&gt;"",ISNUMBER(SEARCH("|"&amp;$C$15&amp;"|",'Base de dados'!$J$12))),AND($C$16&lt;&gt;"",ISNUMBER(SEARCH("|"&amp;$C$16&amp;"|",'Base de dados'!$J$12))),AND($C$17&lt;&gt;"",ISNUMBER(SEARCH("|"&amp;$C$17&amp;"|",'Base de dados'!$J$12))),AND($C$18&lt;&gt;"",ISNUMBER(SEARCH("|"&amp;$C$18&amp;"|",'Base de dados'!$J$12))),AND($C$19&lt;&gt;"",ISNUMBER(SEARCH("|"&amp;$C$19&amp;"|",'Base de dados'!$J$12))),AND($C$20&lt;&gt;"",ISNUMBER(SEARCH("|"&amp;$C$20&amp;"|",'Base de dados'!$J$12)))),"8 - Experimental de Circuitos Elétricos I","")</f>
        <v/>
      </c>
      <c r="Q27" s="14" t="s">
        <v>142</v>
      </c>
    </row>
    <row r="28" spans="1:17" ht="20.25" customHeight="1">
      <c r="H28" s="21"/>
      <c r="O28" s="14">
        <v>9</v>
      </c>
      <c r="P28" s="14" t="str">
        <f>IF(OR(AND($C$6&lt;&gt;"",ISNUMBER(SEARCH("|"&amp;$C$6&amp;"|",'Base de dados'!$J$13))),AND($C$7&lt;&gt;"",ISNUMBER(SEARCH("|"&amp;$C$7&amp;"|",'Base de dados'!$J$13))),AND($C$8&lt;&gt;"",ISNUMBER(SEARCH("|"&amp;$C$8&amp;"|",'Base de dados'!$J$13))),AND($C$9&lt;&gt;"",ISNUMBER(SEARCH("|"&amp;$C$9&amp;"|",'Base de dados'!$J$13))),AND($C$10&lt;&gt;"",ISNUMBER(SEARCH("|"&amp;$C$10&amp;"|",'Base de dados'!$J$13))),AND($C$11&lt;&gt;"",ISNUMBER(SEARCH("|"&amp;$C$11&amp;"|",'Base de dados'!$J$13))),AND($C$12&lt;&gt;"",ISNUMBER(SEARCH("|"&amp;$C$12&amp;"|",'Base de dados'!$J$13))),AND($C$13&lt;&gt;"",ISNUMBER(SEARCH("|"&amp;$C$13&amp;"|",'Base de dados'!$J$13))),AND($C$14&lt;&gt;"",ISNUMBER(SEARCH("|"&amp;$C$14&amp;"|",'Base de dados'!$J$13))),AND($C$15&lt;&gt;"",ISNUMBER(SEARCH("|"&amp;$C$15&amp;"|",'Base de dados'!$J$13))),AND($C$16&lt;&gt;"",ISNUMBER(SEARCH("|"&amp;$C$16&amp;"|",'Base de dados'!$J$13))),AND($C$17&lt;&gt;"",ISNUMBER(SEARCH("|"&amp;$C$17&amp;"|",'Base de dados'!$J$13))),AND($C$18&lt;&gt;"",ISNUMBER(SEARCH("|"&amp;$C$18&amp;"|",'Base de dados'!$J$13))),AND($C$19&lt;&gt;"",ISNUMBER(SEARCH("|"&amp;$C$19&amp;"|",'Base de dados'!$J$13))),AND($C$20&lt;&gt;"",ISNUMBER(SEARCH("|"&amp;$C$20&amp;"|",'Base de dados'!$J$13)))),"9 - Física Básica: Mecânica","")</f>
        <v/>
      </c>
      <c r="Q28" s="14" t="s">
        <v>143</v>
      </c>
    </row>
    <row r="29" spans="1:17" ht="18.75" customHeight="1">
      <c r="H29" s="21"/>
      <c r="O29" s="14">
        <v>10</v>
      </c>
      <c r="P29" s="14" t="str">
        <f>IF(OR(AND($C$6&lt;&gt;"",ISNUMBER(SEARCH("|"&amp;$C$6&amp;"|",'Base de dados'!$J$14))),AND($C$7&lt;&gt;"",ISNUMBER(SEARCH("|"&amp;$C$7&amp;"|",'Base de dados'!$J$14))),AND($C$8&lt;&gt;"",ISNUMBER(SEARCH("|"&amp;$C$8&amp;"|",'Base de dados'!$J$14))),AND($C$9&lt;&gt;"",ISNUMBER(SEARCH("|"&amp;$C$9&amp;"|",'Base de dados'!$J$14))),AND($C$10&lt;&gt;"",ISNUMBER(SEARCH("|"&amp;$C$10&amp;"|",'Base de dados'!$J$14))),AND($C$11&lt;&gt;"",ISNUMBER(SEARCH("|"&amp;$C$11&amp;"|",'Base de dados'!$J$14))),AND($C$12&lt;&gt;"",ISNUMBER(SEARCH("|"&amp;$C$12&amp;"|",'Base de dados'!$J$14))),AND($C$13&lt;&gt;"",ISNUMBER(SEARCH("|"&amp;$C$13&amp;"|",'Base de dados'!$J$14))),AND($C$14&lt;&gt;"",ISNUMBER(SEARCH("|"&amp;$C$14&amp;"|",'Base de dados'!$J$14))),AND($C$15&lt;&gt;"",ISNUMBER(SEARCH("|"&amp;$C$15&amp;"|",'Base de dados'!$J$14))),AND($C$16&lt;&gt;"",ISNUMBER(SEARCH("|"&amp;$C$16&amp;"|",'Base de dados'!$J$14))),AND($C$17&lt;&gt;"",ISNUMBER(SEARCH("|"&amp;$C$17&amp;"|",'Base de dados'!$J$14))),AND($C$18&lt;&gt;"",ISNUMBER(SEARCH("|"&amp;$C$18&amp;"|",'Base de dados'!$J$14))),AND($C$19&lt;&gt;"",ISNUMBER(SEARCH("|"&amp;$C$19&amp;"|",'Base de dados'!$J$14))),AND($C$20&lt;&gt;"",ISNUMBER(SEARCH("|"&amp;$C$20&amp;"|",'Base de dados'!$J$14)))),"10 - Lab. de Física Básica: Mecânica","")</f>
        <v/>
      </c>
      <c r="Q29" s="14" t="s">
        <v>144</v>
      </c>
    </row>
    <row r="30" spans="1:17" ht="18.75" customHeight="1">
      <c r="H30" s="21"/>
      <c r="O30" s="14">
        <v>11</v>
      </c>
      <c r="P30" s="14" t="str">
        <f>IF(OR(AND($C$6&lt;&gt;"",ISNUMBER(SEARCH("|"&amp;$C$6&amp;"|",'Base de dados'!$J$15))),AND($C$7&lt;&gt;"",ISNUMBER(SEARCH("|"&amp;$C$7&amp;"|",'Base de dados'!$J$15))),AND($C$8&lt;&gt;"",ISNUMBER(SEARCH("|"&amp;$C$8&amp;"|",'Base de dados'!$J$15))),AND($C$9&lt;&gt;"",ISNUMBER(SEARCH("|"&amp;$C$9&amp;"|",'Base de dados'!$J$15))),AND($C$10&lt;&gt;"",ISNUMBER(SEARCH("|"&amp;$C$10&amp;"|",'Base de dados'!$J$15))),AND($C$11&lt;&gt;"",ISNUMBER(SEARCH("|"&amp;$C$11&amp;"|",'Base de dados'!$J$15))),AND($C$12&lt;&gt;"",ISNUMBER(SEARCH("|"&amp;$C$12&amp;"|",'Base de dados'!$J$15))),AND($C$13&lt;&gt;"",ISNUMBER(SEARCH("|"&amp;$C$13&amp;"|",'Base de dados'!$J$15))),AND($C$14&lt;&gt;"",ISNUMBER(SEARCH("|"&amp;$C$14&amp;"|",'Base de dados'!$J$15))),AND($C$15&lt;&gt;"",ISNUMBER(SEARCH("|"&amp;$C$15&amp;"|",'Base de dados'!$J$15))),AND($C$16&lt;&gt;"",ISNUMBER(SEARCH("|"&amp;$C$16&amp;"|",'Base de dados'!$J$15))),AND($C$17&lt;&gt;"",ISNUMBER(SEARCH("|"&amp;$C$17&amp;"|",'Base de dados'!$J$15))),AND($C$18&lt;&gt;"",ISNUMBER(SEARCH("|"&amp;$C$18&amp;"|",'Base de dados'!$J$15))),AND($C$19&lt;&gt;"",ISNUMBER(SEARCH("|"&amp;$C$19&amp;"|",'Base de dados'!$J$15))),AND($C$20&lt;&gt;"",ISNUMBER(SEARCH("|"&amp;$C$20&amp;"|",'Base de dados'!$J$15)))),"11 - Cálculo Diferencial e Integral II","")</f>
        <v/>
      </c>
      <c r="Q30" s="14" t="s">
        <v>145</v>
      </c>
    </row>
    <row r="31" spans="1:17" ht="18.75" customHeight="1">
      <c r="H31" s="21"/>
      <c r="O31" s="14">
        <v>12</v>
      </c>
      <c r="P31" s="14" t="str">
        <f>IF(OR(AND($C$6&lt;&gt;"",ISNUMBER(SEARCH("|"&amp;$C$6&amp;"|",'Base de dados'!$J$16))),AND($C$7&lt;&gt;"",ISNUMBER(SEARCH("|"&amp;$C$7&amp;"|",'Base de dados'!$J$16))),AND($C$8&lt;&gt;"",ISNUMBER(SEARCH("|"&amp;$C$8&amp;"|",'Base de dados'!$J$16))),AND($C$9&lt;&gt;"",ISNUMBER(SEARCH("|"&amp;$C$9&amp;"|",'Base de dados'!$J$16))),AND($C$10&lt;&gt;"",ISNUMBER(SEARCH("|"&amp;$C$10&amp;"|",'Base de dados'!$J$16))),AND($C$11&lt;&gt;"",ISNUMBER(SEARCH("|"&amp;$C$11&amp;"|",'Base de dados'!$J$16))),AND($C$12&lt;&gt;"",ISNUMBER(SEARCH("|"&amp;$C$12&amp;"|",'Base de dados'!$J$16))),AND($C$13&lt;&gt;"",ISNUMBER(SEARCH("|"&amp;$C$13&amp;"|",'Base de dados'!$J$16))),AND($C$14&lt;&gt;"",ISNUMBER(SEARCH("|"&amp;$C$14&amp;"|",'Base de dados'!$J$16))),AND($C$15&lt;&gt;"",ISNUMBER(SEARCH("|"&amp;$C$15&amp;"|",'Base de dados'!$J$16))),AND($C$16&lt;&gt;"",ISNUMBER(SEARCH("|"&amp;$C$16&amp;"|",'Base de dados'!$J$16))),AND($C$17&lt;&gt;"",ISNUMBER(SEARCH("|"&amp;$C$17&amp;"|",'Base de dados'!$J$16))),AND($C$18&lt;&gt;"",ISNUMBER(SEARCH("|"&amp;$C$18&amp;"|",'Base de dados'!$J$16))),AND($C$19&lt;&gt;"",ISNUMBER(SEARCH("|"&amp;$C$19&amp;"|",'Base de dados'!$J$16))),AND($C$20&lt;&gt;"",ISNUMBER(SEARCH("|"&amp;$C$20&amp;"|",'Base de dados'!$J$16)))),"12 - Estatística para Engenharia","")</f>
        <v/>
      </c>
      <c r="Q31" s="14" t="s">
        <v>146</v>
      </c>
    </row>
    <row r="32" spans="1:17" ht="14.25" customHeight="1">
      <c r="H32" s="21"/>
      <c r="O32" s="14">
        <v>13</v>
      </c>
      <c r="P32" s="14" t="str">
        <f>IF(OR(AND($C$6&lt;&gt;"",ISNUMBER(SEARCH("|"&amp;$C$6&amp;"|",'Base de dados'!$J$17))),AND($C$7&lt;&gt;"",ISNUMBER(SEARCH("|"&amp;$C$7&amp;"|",'Base de dados'!$J$17))),AND($C$8&lt;&gt;"",ISNUMBER(SEARCH("|"&amp;$C$8&amp;"|",'Base de dados'!$J$17))),AND($C$9&lt;&gt;"",ISNUMBER(SEARCH("|"&amp;$C$9&amp;"|",'Base de dados'!$J$17))),AND($C$10&lt;&gt;"",ISNUMBER(SEARCH("|"&amp;$C$10&amp;"|",'Base de dados'!$J$17))),AND($C$11&lt;&gt;"",ISNUMBER(SEARCH("|"&amp;$C$11&amp;"|",'Base de dados'!$J$17))),AND($C$12&lt;&gt;"",ISNUMBER(SEARCH("|"&amp;$C$12&amp;"|",'Base de dados'!$J$17))),AND($C$13&lt;&gt;"",ISNUMBER(SEARCH("|"&amp;$C$13&amp;"|",'Base de dados'!$J$17))),AND($C$14&lt;&gt;"",ISNUMBER(SEARCH("|"&amp;$C$14&amp;"|",'Base de dados'!$J$17))),AND($C$15&lt;&gt;"",ISNUMBER(SEARCH("|"&amp;$C$15&amp;"|",'Base de dados'!$J$17))),AND($C$16&lt;&gt;"",ISNUMBER(SEARCH("|"&amp;$C$16&amp;"|",'Base de dados'!$J$17))),AND($C$17&lt;&gt;"",ISNUMBER(SEARCH("|"&amp;$C$17&amp;"|",'Base de dados'!$J$17))),AND($C$18&lt;&gt;"",ISNUMBER(SEARCH("|"&amp;$C$18&amp;"|",'Base de dados'!$J$17))),AND($C$19&lt;&gt;"",ISNUMBER(SEARCH("|"&amp;$C$19&amp;"|",'Base de dados'!$J$17))),AND($C$20&lt;&gt;"",ISNUMBER(SEARCH("|"&amp;$C$20&amp;"|",'Base de dados'!$J$17)))),"13 - Programação Orientada a Objetos","")</f>
        <v/>
      </c>
      <c r="Q32" s="14" t="s">
        <v>147</v>
      </c>
    </row>
    <row r="33" spans="8:17" ht="14.25" customHeight="1">
      <c r="H33" s="21"/>
      <c r="O33" s="14">
        <v>14</v>
      </c>
      <c r="P33" s="14" t="str">
        <f>IF(OR(AND($C$6&lt;&gt;"",ISNUMBER(SEARCH("|"&amp;$C$6&amp;"|",'Base de dados'!$J$18))),AND($C$7&lt;&gt;"",ISNUMBER(SEARCH("|"&amp;$C$7&amp;"|",'Base de dados'!$J$18))),AND($C$8&lt;&gt;"",ISNUMBER(SEARCH("|"&amp;$C$8&amp;"|",'Base de dados'!$J$18))),AND($C$9&lt;&gt;"",ISNUMBER(SEARCH("|"&amp;$C$9&amp;"|",'Base de dados'!$J$18))),AND($C$10&lt;&gt;"",ISNUMBER(SEARCH("|"&amp;$C$10&amp;"|",'Base de dados'!$J$18))),AND($C$11&lt;&gt;"",ISNUMBER(SEARCH("|"&amp;$C$11&amp;"|",'Base de dados'!$J$18))),AND($C$12&lt;&gt;"",ISNUMBER(SEARCH("|"&amp;$C$12&amp;"|",'Base de dados'!$J$18))),AND($C$13&lt;&gt;"",ISNUMBER(SEARCH("|"&amp;$C$13&amp;"|",'Base de dados'!$J$18))),AND($C$14&lt;&gt;"",ISNUMBER(SEARCH("|"&amp;$C$14&amp;"|",'Base de dados'!$J$18))),AND($C$15&lt;&gt;"",ISNUMBER(SEARCH("|"&amp;$C$15&amp;"|",'Base de dados'!$J$18))),AND($C$16&lt;&gt;"",ISNUMBER(SEARCH("|"&amp;$C$16&amp;"|",'Base de dados'!$J$18))),AND($C$17&lt;&gt;"",ISNUMBER(SEARCH("|"&amp;$C$17&amp;"|",'Base de dados'!$J$18))),AND($C$18&lt;&gt;"",ISNUMBER(SEARCH("|"&amp;$C$18&amp;"|",'Base de dados'!$J$18))),AND($C$19&lt;&gt;"",ISNUMBER(SEARCH("|"&amp;$C$19&amp;"|",'Base de dados'!$J$18))),AND($C$20&lt;&gt;"",ISNUMBER(SEARCH("|"&amp;$C$20&amp;"|",'Base de dados'!$J$18)))),"14 - Fundamentos de Semicondutores","")</f>
        <v/>
      </c>
      <c r="Q33" s="14" t="s">
        <v>148</v>
      </c>
    </row>
    <row r="34" spans="8:17" ht="14.25" customHeight="1">
      <c r="H34" s="21"/>
      <c r="O34" s="14">
        <v>15</v>
      </c>
      <c r="P34" s="14" t="str">
        <f>IF(OR(AND($C$6&lt;&gt;"",ISNUMBER(SEARCH("|"&amp;$C$6&amp;"|",'Base de dados'!$J$19))),AND($C$7&lt;&gt;"",ISNUMBER(SEARCH("|"&amp;$C$7&amp;"|",'Base de dados'!$J$19))),AND($C$8&lt;&gt;"",ISNUMBER(SEARCH("|"&amp;$C$8&amp;"|",'Base de dados'!$J$19))),AND($C$9&lt;&gt;"",ISNUMBER(SEARCH("|"&amp;$C$9&amp;"|",'Base de dados'!$J$19))),AND($C$10&lt;&gt;"",ISNUMBER(SEARCH("|"&amp;$C$10&amp;"|",'Base de dados'!$J$19))),AND($C$11&lt;&gt;"",ISNUMBER(SEARCH("|"&amp;$C$11&amp;"|",'Base de dados'!$J$19))),AND($C$12&lt;&gt;"",ISNUMBER(SEARCH("|"&amp;$C$12&amp;"|",'Base de dados'!$J$19))),AND($C$13&lt;&gt;"",ISNUMBER(SEARCH("|"&amp;$C$13&amp;"|",'Base de dados'!$J$19))),AND($C$14&lt;&gt;"",ISNUMBER(SEARCH("|"&amp;$C$14&amp;"|",'Base de dados'!$J$19))),AND($C$15&lt;&gt;"",ISNUMBER(SEARCH("|"&amp;$C$15&amp;"|",'Base de dados'!$J$19))),AND($C$16&lt;&gt;"",ISNUMBER(SEARCH("|"&amp;$C$16&amp;"|",'Base de dados'!$J$19))),AND($C$17&lt;&gt;"",ISNUMBER(SEARCH("|"&amp;$C$17&amp;"|",'Base de dados'!$J$19))),AND($C$18&lt;&gt;"",ISNUMBER(SEARCH("|"&amp;$C$18&amp;"|",'Base de dados'!$J$19))),AND($C$19&lt;&gt;"",ISNUMBER(SEARCH("|"&amp;$C$19&amp;"|",'Base de dados'!$J$19))),AND($C$20&lt;&gt;"",ISNUMBER(SEARCH("|"&amp;$C$20&amp;"|",'Base de dados'!$J$19)))),"15 - Circuitos Elétricos II","")</f>
        <v/>
      </c>
      <c r="Q34" s="14" t="s">
        <v>149</v>
      </c>
    </row>
    <row r="35" spans="8:17" ht="14.25" customHeight="1">
      <c r="H35" s="21"/>
      <c r="O35" s="14">
        <v>16</v>
      </c>
      <c r="P35" s="14" t="str">
        <f>IF(OR(AND($C$6&lt;&gt;"",ISNUMBER(SEARCH("|"&amp;$C$6&amp;"|",'Base de dados'!$J$20))),AND($C$7&lt;&gt;"",ISNUMBER(SEARCH("|"&amp;$C$7&amp;"|",'Base de dados'!$J$20))),AND($C$8&lt;&gt;"",ISNUMBER(SEARCH("|"&amp;$C$8&amp;"|",'Base de dados'!$J$20))),AND($C$9&lt;&gt;"",ISNUMBER(SEARCH("|"&amp;$C$9&amp;"|",'Base de dados'!$J$20))),AND($C$10&lt;&gt;"",ISNUMBER(SEARCH("|"&amp;$C$10&amp;"|",'Base de dados'!$J$20))),AND($C$11&lt;&gt;"",ISNUMBER(SEARCH("|"&amp;$C$11&amp;"|",'Base de dados'!$J$20))),AND($C$12&lt;&gt;"",ISNUMBER(SEARCH("|"&amp;$C$12&amp;"|",'Base de dados'!$J$20))),AND($C$13&lt;&gt;"",ISNUMBER(SEARCH("|"&amp;$C$13&amp;"|",'Base de dados'!$J$20))),AND($C$14&lt;&gt;"",ISNUMBER(SEARCH("|"&amp;$C$14&amp;"|",'Base de dados'!$J$20))),AND($C$15&lt;&gt;"",ISNUMBER(SEARCH("|"&amp;$C$15&amp;"|",'Base de dados'!$J$20))),AND($C$16&lt;&gt;"",ISNUMBER(SEARCH("|"&amp;$C$16&amp;"|",'Base de dados'!$J$20))),AND($C$17&lt;&gt;"",ISNUMBER(SEARCH("|"&amp;$C$17&amp;"|",'Base de dados'!$J$20))),AND($C$18&lt;&gt;"",ISNUMBER(SEARCH("|"&amp;$C$18&amp;"|",'Base de dados'!$J$20))),AND($C$19&lt;&gt;"",ISNUMBER(SEARCH("|"&amp;$C$19&amp;"|",'Base de dados'!$J$20))),AND($C$20&lt;&gt;"",ISNUMBER(SEARCH("|"&amp;$C$20&amp;"|",'Base de dados'!$J$20)))),"16 - Experimental de Circuitos Elétricos II","")</f>
        <v/>
      </c>
      <c r="Q35" s="14" t="s">
        <v>150</v>
      </c>
    </row>
    <row r="36" spans="8:17" ht="14.25" customHeight="1">
      <c r="H36" s="21"/>
      <c r="O36" s="14">
        <v>17</v>
      </c>
      <c r="P36" s="14" t="str">
        <f>IF(OR(AND($C$6&lt;&gt;"",ISNUMBER(SEARCH("|"&amp;$C$6&amp;"|",'Base de dados'!$J$21))),AND($C$7&lt;&gt;"",ISNUMBER(SEARCH("|"&amp;$C$7&amp;"|",'Base de dados'!$J$21))),AND($C$8&lt;&gt;"",ISNUMBER(SEARCH("|"&amp;$C$8&amp;"|",'Base de dados'!$J$21))),AND($C$9&lt;&gt;"",ISNUMBER(SEARCH("|"&amp;$C$9&amp;"|",'Base de dados'!$J$21))),AND($C$10&lt;&gt;"",ISNUMBER(SEARCH("|"&amp;$C$10&amp;"|",'Base de dados'!$J$21))),AND($C$11&lt;&gt;"",ISNUMBER(SEARCH("|"&amp;$C$11&amp;"|",'Base de dados'!$J$21))),AND($C$12&lt;&gt;"",ISNUMBER(SEARCH("|"&amp;$C$12&amp;"|",'Base de dados'!$J$21))),AND($C$13&lt;&gt;"",ISNUMBER(SEARCH("|"&amp;$C$13&amp;"|",'Base de dados'!$J$21))),AND($C$14&lt;&gt;"",ISNUMBER(SEARCH("|"&amp;$C$14&amp;"|",'Base de dados'!$J$21))),AND($C$15&lt;&gt;"",ISNUMBER(SEARCH("|"&amp;$C$15&amp;"|",'Base de dados'!$J$21))),AND($C$16&lt;&gt;"",ISNUMBER(SEARCH("|"&amp;$C$16&amp;"|",'Base de dados'!$J$21))),AND($C$17&lt;&gt;"",ISNUMBER(SEARCH("|"&amp;$C$17&amp;"|",'Base de dados'!$J$21))),AND($C$18&lt;&gt;"",ISNUMBER(SEARCH("|"&amp;$C$18&amp;"|",'Base de dados'!$J$21))),AND($C$19&lt;&gt;"",ISNUMBER(SEARCH("|"&amp;$C$19&amp;"|",'Base de dados'!$J$21))),AND($C$20&lt;&gt;"",ISNUMBER(SEARCH("|"&amp;$C$20&amp;"|",'Base de dados'!$J$21)))),"17 - Física Básica: Eletricidade e Magnetismo","")</f>
        <v/>
      </c>
      <c r="Q36" s="14" t="s">
        <v>151</v>
      </c>
    </row>
    <row r="37" spans="8:17" ht="14.25" customHeight="1">
      <c r="H37" s="21"/>
      <c r="O37" s="14">
        <v>18</v>
      </c>
      <c r="P37" s="14" t="str">
        <f>IF(OR(AND($C$6&lt;&gt;"",ISNUMBER(SEARCH("|"&amp;$C$6&amp;"|",'Base de dados'!$J$22))),AND($C$7&lt;&gt;"",ISNUMBER(SEARCH("|"&amp;$C$7&amp;"|",'Base de dados'!$J$22))),AND($C$8&lt;&gt;"",ISNUMBER(SEARCH("|"&amp;$C$8&amp;"|",'Base de dados'!$J$22))),AND($C$9&lt;&gt;"",ISNUMBER(SEARCH("|"&amp;$C$9&amp;"|",'Base de dados'!$J$22))),AND($C$10&lt;&gt;"",ISNUMBER(SEARCH("|"&amp;$C$10&amp;"|",'Base de dados'!$J$22))),AND($C$11&lt;&gt;"",ISNUMBER(SEARCH("|"&amp;$C$11&amp;"|",'Base de dados'!$J$22))),AND($C$12&lt;&gt;"",ISNUMBER(SEARCH("|"&amp;$C$12&amp;"|",'Base de dados'!$J$22))),AND($C$13&lt;&gt;"",ISNUMBER(SEARCH("|"&amp;$C$13&amp;"|",'Base de dados'!$J$22))),AND($C$14&lt;&gt;"",ISNUMBER(SEARCH("|"&amp;$C$14&amp;"|",'Base de dados'!$J$22))),AND($C$15&lt;&gt;"",ISNUMBER(SEARCH("|"&amp;$C$15&amp;"|",'Base de dados'!$J$22))),AND($C$16&lt;&gt;"",ISNUMBER(SEARCH("|"&amp;$C$16&amp;"|",'Base de dados'!$J$22))),AND($C$17&lt;&gt;"",ISNUMBER(SEARCH("|"&amp;$C$17&amp;"|",'Base de dados'!$J$22))),AND($C$18&lt;&gt;"",ISNUMBER(SEARCH("|"&amp;$C$18&amp;"|",'Base de dados'!$J$22))),AND($C$19&lt;&gt;"",ISNUMBER(SEARCH("|"&amp;$C$19&amp;"|",'Base de dados'!$J$22))),AND($C$20&lt;&gt;"",ISNUMBER(SEARCH("|"&amp;$C$20&amp;"|",'Base de dados'!$J$22)))),"18 - Lab. Física Básica: Eletricidade e Magnetismo","")</f>
        <v/>
      </c>
      <c r="Q37" s="14" t="s">
        <v>152</v>
      </c>
    </row>
    <row r="38" spans="8:17" ht="14.25" customHeight="1">
      <c r="H38" s="21"/>
      <c r="O38" s="14">
        <v>19</v>
      </c>
      <c r="P38" s="14" t="str">
        <f>IF(OR(AND($C$6&lt;&gt;"",ISNUMBER(SEARCH("|"&amp;$C$6&amp;"|",'Base de dados'!$J$23))),AND($C$7&lt;&gt;"",ISNUMBER(SEARCH("|"&amp;$C$7&amp;"|",'Base de dados'!$J$23))),AND($C$8&lt;&gt;"",ISNUMBER(SEARCH("|"&amp;$C$8&amp;"|",'Base de dados'!$J$23))),AND($C$9&lt;&gt;"",ISNUMBER(SEARCH("|"&amp;$C$9&amp;"|",'Base de dados'!$J$23))),AND($C$10&lt;&gt;"",ISNUMBER(SEARCH("|"&amp;$C$10&amp;"|",'Base de dados'!$J$23))),AND($C$11&lt;&gt;"",ISNUMBER(SEARCH("|"&amp;$C$11&amp;"|",'Base de dados'!$J$23))),AND($C$12&lt;&gt;"",ISNUMBER(SEARCH("|"&amp;$C$12&amp;"|",'Base de dados'!$J$23))),AND($C$13&lt;&gt;"",ISNUMBER(SEARCH("|"&amp;$C$13&amp;"|",'Base de dados'!$J$23))),AND($C$14&lt;&gt;"",ISNUMBER(SEARCH("|"&amp;$C$14&amp;"|",'Base de dados'!$J$23))),AND($C$15&lt;&gt;"",ISNUMBER(SEARCH("|"&amp;$C$15&amp;"|",'Base de dados'!$J$23))),AND($C$16&lt;&gt;"",ISNUMBER(SEARCH("|"&amp;$C$16&amp;"|",'Base de dados'!$J$23))),AND($C$17&lt;&gt;"",ISNUMBER(SEARCH("|"&amp;$C$17&amp;"|",'Base de dados'!$J$23))),AND($C$18&lt;&gt;"",ISNUMBER(SEARCH("|"&amp;$C$18&amp;"|",'Base de dados'!$J$23))),AND($C$19&lt;&gt;"",ISNUMBER(SEARCH("|"&amp;$C$19&amp;"|",'Base de dados'!$J$23))),AND($C$20&lt;&gt;"",ISNUMBER(SEARCH("|"&amp;$C$20&amp;"|",'Base de dados'!$J$23)))),"19 - Cálculo Diferencial e Integral III","")</f>
        <v/>
      </c>
      <c r="Q38" s="14" t="s">
        <v>153</v>
      </c>
    </row>
    <row r="39" spans="8:17" ht="14.25" customHeight="1">
      <c r="H39" s="21"/>
      <c r="O39" s="14">
        <v>20</v>
      </c>
      <c r="P39" s="14" t="str">
        <f>IF(OR(AND($C$6&lt;&gt;"",ISNUMBER(SEARCH("|"&amp;$C$6&amp;"|",'Base de dados'!$J$24))),AND($C$7&lt;&gt;"",ISNUMBER(SEARCH("|"&amp;$C$7&amp;"|",'Base de dados'!$J$24))),AND($C$8&lt;&gt;"",ISNUMBER(SEARCH("|"&amp;$C$8&amp;"|",'Base de dados'!$J$24))),AND($C$9&lt;&gt;"",ISNUMBER(SEARCH("|"&amp;$C$9&amp;"|",'Base de dados'!$J$24))),AND($C$10&lt;&gt;"",ISNUMBER(SEARCH("|"&amp;$C$10&amp;"|",'Base de dados'!$J$24))),AND($C$11&lt;&gt;"",ISNUMBER(SEARCH("|"&amp;$C$11&amp;"|",'Base de dados'!$J$24))),AND($C$12&lt;&gt;"",ISNUMBER(SEARCH("|"&amp;$C$12&amp;"|",'Base de dados'!$J$24))),AND($C$13&lt;&gt;"",ISNUMBER(SEARCH("|"&amp;$C$13&amp;"|",'Base de dados'!$J$24))),AND($C$14&lt;&gt;"",ISNUMBER(SEARCH("|"&amp;$C$14&amp;"|",'Base de dados'!$J$24))),AND($C$15&lt;&gt;"",ISNUMBER(SEARCH("|"&amp;$C$15&amp;"|",'Base de dados'!$J$24))),AND($C$16&lt;&gt;"",ISNUMBER(SEARCH("|"&amp;$C$16&amp;"|",'Base de dados'!$J$24))),AND($C$17&lt;&gt;"",ISNUMBER(SEARCH("|"&amp;$C$17&amp;"|",'Base de dados'!$J$24))),AND($C$18&lt;&gt;"",ISNUMBER(SEARCH("|"&amp;$C$18&amp;"|",'Base de dados'!$J$24))),AND($C$19&lt;&gt;"",ISNUMBER(SEARCH("|"&amp;$C$19&amp;"|",'Base de dados'!$J$24))),AND($C$20&lt;&gt;"",ISNUMBER(SEARCH("|"&amp;$C$20&amp;"|",'Base de dados'!$J$24)))),"20 - Métodos Matemáticos","")</f>
        <v/>
      </c>
      <c r="Q39" s="14" t="s">
        <v>154</v>
      </c>
    </row>
    <row r="40" spans="8:17" ht="14.25" customHeight="1">
      <c r="H40" s="21"/>
      <c r="O40" s="14">
        <v>21</v>
      </c>
      <c r="P40" s="14" t="str">
        <f>IF(OR(AND($C$6&lt;&gt;"",ISNUMBER(SEARCH("|"&amp;$C$6&amp;"|",'Base de dados'!$J$25))),AND($C$7&lt;&gt;"",ISNUMBER(SEARCH("|"&amp;$C$7&amp;"|",'Base de dados'!$J$25))),AND($C$8&lt;&gt;"",ISNUMBER(SEARCH("|"&amp;$C$8&amp;"|",'Base de dados'!$J$25))),AND($C$9&lt;&gt;"",ISNUMBER(SEARCH("|"&amp;$C$9&amp;"|",'Base de dados'!$J$25))),AND($C$10&lt;&gt;"",ISNUMBER(SEARCH("|"&amp;$C$10&amp;"|",'Base de dados'!$J$25))),AND($C$11&lt;&gt;"",ISNUMBER(SEARCH("|"&amp;$C$11&amp;"|",'Base de dados'!$J$25))),AND($C$12&lt;&gt;"",ISNUMBER(SEARCH("|"&amp;$C$12&amp;"|",'Base de dados'!$J$25))),AND($C$13&lt;&gt;"",ISNUMBER(SEARCH("|"&amp;$C$13&amp;"|",'Base de dados'!$J$25))),AND($C$14&lt;&gt;"",ISNUMBER(SEARCH("|"&amp;$C$14&amp;"|",'Base de dados'!$J$25))),AND($C$15&lt;&gt;"",ISNUMBER(SEARCH("|"&amp;$C$15&amp;"|",'Base de dados'!$J$25))),AND($C$16&lt;&gt;"",ISNUMBER(SEARCH("|"&amp;$C$16&amp;"|",'Base de dados'!$J$25))),AND($C$17&lt;&gt;"",ISNUMBER(SEARCH("|"&amp;$C$17&amp;"|",'Base de dados'!$J$25))),AND($C$18&lt;&gt;"",ISNUMBER(SEARCH("|"&amp;$C$18&amp;"|",'Base de dados'!$J$25))),AND($C$19&lt;&gt;"",ISNUMBER(SEARCH("|"&amp;$C$19&amp;"|",'Base de dados'!$J$25))),AND($C$20&lt;&gt;"",ISNUMBER(SEARCH("|"&amp;$C$20&amp;"|",'Base de dados'!$J$25)))),"21 - Fenômenos de Transporte","")</f>
        <v/>
      </c>
      <c r="Q40" s="14" t="s">
        <v>155</v>
      </c>
    </row>
    <row r="41" spans="8:17" ht="14.25" customHeight="1">
      <c r="H41" s="21"/>
      <c r="O41" s="14">
        <v>22</v>
      </c>
      <c r="P41" s="14" t="str">
        <f>IF(OR(AND($C$6&lt;&gt;"",ISNUMBER(SEARCH("|"&amp;$C$6&amp;"|",'Base de dados'!$J$26))),AND($C$7&lt;&gt;"",ISNUMBER(SEARCH("|"&amp;$C$7&amp;"|",'Base de dados'!$J$26))),AND($C$8&lt;&gt;"",ISNUMBER(SEARCH("|"&amp;$C$8&amp;"|",'Base de dados'!$J$26))),AND($C$9&lt;&gt;"",ISNUMBER(SEARCH("|"&amp;$C$9&amp;"|",'Base de dados'!$J$26))),AND($C$10&lt;&gt;"",ISNUMBER(SEARCH("|"&amp;$C$10&amp;"|",'Base de dados'!$J$26))),AND($C$11&lt;&gt;"",ISNUMBER(SEARCH("|"&amp;$C$11&amp;"|",'Base de dados'!$J$26))),AND($C$12&lt;&gt;"",ISNUMBER(SEARCH("|"&amp;$C$12&amp;"|",'Base de dados'!$J$26))),AND($C$13&lt;&gt;"",ISNUMBER(SEARCH("|"&amp;$C$13&amp;"|",'Base de dados'!$J$26))),AND($C$14&lt;&gt;"",ISNUMBER(SEARCH("|"&amp;$C$14&amp;"|",'Base de dados'!$J$26))),AND($C$15&lt;&gt;"",ISNUMBER(SEARCH("|"&amp;$C$15&amp;"|",'Base de dados'!$J$26))),AND($C$16&lt;&gt;"",ISNUMBER(SEARCH("|"&amp;$C$16&amp;"|",'Base de dados'!$J$26))),AND($C$17&lt;&gt;"",ISNUMBER(SEARCH("|"&amp;$C$17&amp;"|",'Base de dados'!$J$26))),AND($C$18&lt;&gt;"",ISNUMBER(SEARCH("|"&amp;$C$18&amp;"|",'Base de dados'!$J$26))),AND($C$19&lt;&gt;"",ISNUMBER(SEARCH("|"&amp;$C$19&amp;"|",'Base de dados'!$J$26))),AND($C$20&lt;&gt;"",ISNUMBER(SEARCH("|"&amp;$C$20&amp;"|",'Base de dados'!$J$26)))),"22 - Eletrônica Analógica I","")</f>
        <v/>
      </c>
      <c r="Q41" s="14" t="s">
        <v>156</v>
      </c>
    </row>
    <row r="42" spans="8:17" ht="14.25" customHeight="1">
      <c r="H42" s="21"/>
      <c r="O42" s="14">
        <v>23</v>
      </c>
      <c r="P42" s="14" t="str">
        <f>IF(OR(AND($C$6&lt;&gt;"",ISNUMBER(SEARCH("|"&amp;$C$6&amp;"|",'Base de dados'!$J$27))),AND($C$7&lt;&gt;"",ISNUMBER(SEARCH("|"&amp;$C$7&amp;"|",'Base de dados'!$J$27))),AND($C$8&lt;&gt;"",ISNUMBER(SEARCH("|"&amp;$C$8&amp;"|",'Base de dados'!$J$27))),AND($C$9&lt;&gt;"",ISNUMBER(SEARCH("|"&amp;$C$9&amp;"|",'Base de dados'!$J$27))),AND($C$10&lt;&gt;"",ISNUMBER(SEARCH("|"&amp;$C$10&amp;"|",'Base de dados'!$J$27))),AND($C$11&lt;&gt;"",ISNUMBER(SEARCH("|"&amp;$C$11&amp;"|",'Base de dados'!$J$27))),AND($C$12&lt;&gt;"",ISNUMBER(SEARCH("|"&amp;$C$12&amp;"|",'Base de dados'!$J$27))),AND($C$13&lt;&gt;"",ISNUMBER(SEARCH("|"&amp;$C$13&amp;"|",'Base de dados'!$J$27))),AND($C$14&lt;&gt;"",ISNUMBER(SEARCH("|"&amp;$C$14&amp;"|",'Base de dados'!$J$27))),AND($C$15&lt;&gt;"",ISNUMBER(SEARCH("|"&amp;$C$15&amp;"|",'Base de dados'!$J$27))),AND($C$16&lt;&gt;"",ISNUMBER(SEARCH("|"&amp;$C$16&amp;"|",'Base de dados'!$J$27))),AND($C$17&lt;&gt;"",ISNUMBER(SEARCH("|"&amp;$C$17&amp;"|",'Base de dados'!$J$27))),AND($C$18&lt;&gt;"",ISNUMBER(SEARCH("|"&amp;$C$18&amp;"|",'Base de dados'!$J$27))),AND($C$19&lt;&gt;"",ISNUMBER(SEARCH("|"&amp;$C$19&amp;"|",'Base de dados'!$J$27))),AND($C$20&lt;&gt;"",ISNUMBER(SEARCH("|"&amp;$C$20&amp;"|",'Base de dados'!$J$27)))),"23 - Experimental de Eletrônica Analógica I","")</f>
        <v/>
      </c>
      <c r="Q42" s="14" t="s">
        <v>157</v>
      </c>
    </row>
    <row r="43" spans="8:17" ht="14.25" customHeight="1">
      <c r="H43" s="21"/>
      <c r="O43" s="14">
        <v>24</v>
      </c>
      <c r="P43" s="14" t="str">
        <f>IF(OR(AND($C$6&lt;&gt;"",ISNUMBER(SEARCH("|"&amp;$C$6&amp;"|",'Base de dados'!$J$28))),AND($C$7&lt;&gt;"",ISNUMBER(SEARCH("|"&amp;$C$7&amp;"|",'Base de dados'!$J$28))),AND($C$8&lt;&gt;"",ISNUMBER(SEARCH("|"&amp;$C$8&amp;"|",'Base de dados'!$J$28))),AND($C$9&lt;&gt;"",ISNUMBER(SEARCH("|"&amp;$C$9&amp;"|",'Base de dados'!$J$28))),AND($C$10&lt;&gt;"",ISNUMBER(SEARCH("|"&amp;$C$10&amp;"|",'Base de dados'!$J$28))),AND($C$11&lt;&gt;"",ISNUMBER(SEARCH("|"&amp;$C$11&amp;"|",'Base de dados'!$J$28))),AND($C$12&lt;&gt;"",ISNUMBER(SEARCH("|"&amp;$C$12&amp;"|",'Base de dados'!$J$28))),AND($C$13&lt;&gt;"",ISNUMBER(SEARCH("|"&amp;$C$13&amp;"|",'Base de dados'!$J$28))),AND($C$14&lt;&gt;"",ISNUMBER(SEARCH("|"&amp;$C$14&amp;"|",'Base de dados'!$J$28))),AND($C$15&lt;&gt;"",ISNUMBER(SEARCH("|"&amp;$C$15&amp;"|",'Base de dados'!$J$28))),AND($C$16&lt;&gt;"",ISNUMBER(SEARCH("|"&amp;$C$16&amp;"|",'Base de dados'!$J$28))),AND($C$17&lt;&gt;"",ISNUMBER(SEARCH("|"&amp;$C$17&amp;"|",'Base de dados'!$J$28))),AND($C$18&lt;&gt;"",ISNUMBER(SEARCH("|"&amp;$C$18&amp;"|",'Base de dados'!$J$28))),AND($C$19&lt;&gt;"",ISNUMBER(SEARCH("|"&amp;$C$19&amp;"|",'Base de dados'!$J$28))),AND($C$20&lt;&gt;"",ISNUMBER(SEARCH("|"&amp;$C$20&amp;"|",'Base de dados'!$J$28)))),"24 - Física Básica: Oscilações, Ondas e Ótica","")</f>
        <v/>
      </c>
      <c r="Q43" s="14" t="s">
        <v>158</v>
      </c>
    </row>
    <row r="44" spans="8:17" ht="14.25" customHeight="1">
      <c r="H44" s="21"/>
      <c r="O44" s="14">
        <v>25</v>
      </c>
      <c r="P44" s="14" t="str">
        <f>IF(OR(AND($C$6&lt;&gt;"",ISNUMBER(SEARCH("|"&amp;$C$6&amp;"|",'Base de dados'!$J$29))),AND($C$7&lt;&gt;"",ISNUMBER(SEARCH("|"&amp;$C$7&amp;"|",'Base de dados'!$J$29))),AND($C$8&lt;&gt;"",ISNUMBER(SEARCH("|"&amp;$C$8&amp;"|",'Base de dados'!$J$29))),AND($C$9&lt;&gt;"",ISNUMBER(SEARCH("|"&amp;$C$9&amp;"|",'Base de dados'!$J$29))),AND($C$10&lt;&gt;"",ISNUMBER(SEARCH("|"&amp;$C$10&amp;"|",'Base de dados'!$J$29))),AND($C$11&lt;&gt;"",ISNUMBER(SEARCH("|"&amp;$C$11&amp;"|",'Base de dados'!$J$29))),AND($C$12&lt;&gt;"",ISNUMBER(SEARCH("|"&amp;$C$12&amp;"|",'Base de dados'!$J$29))),AND($C$13&lt;&gt;"",ISNUMBER(SEARCH("|"&amp;$C$13&amp;"|",'Base de dados'!$J$29))),AND($C$14&lt;&gt;"",ISNUMBER(SEARCH("|"&amp;$C$14&amp;"|",'Base de dados'!$J$29))),AND($C$15&lt;&gt;"",ISNUMBER(SEARCH("|"&amp;$C$15&amp;"|",'Base de dados'!$J$29))),AND($C$16&lt;&gt;"",ISNUMBER(SEARCH("|"&amp;$C$16&amp;"|",'Base de dados'!$J$29))),AND($C$17&lt;&gt;"",ISNUMBER(SEARCH("|"&amp;$C$17&amp;"|",'Base de dados'!$J$29))),AND($C$18&lt;&gt;"",ISNUMBER(SEARCH("|"&amp;$C$18&amp;"|",'Base de dados'!$J$29))),AND($C$19&lt;&gt;"",ISNUMBER(SEARCH("|"&amp;$C$19&amp;"|",'Base de dados'!$J$29))),AND($C$20&lt;&gt;"",ISNUMBER(SEARCH("|"&amp;$C$20&amp;"|",'Base de dados'!$J$29)))),"25 - Lab. de Física Básica: Ondulatória e Ótica","")</f>
        <v/>
      </c>
      <c r="Q44" s="14" t="s">
        <v>159</v>
      </c>
    </row>
    <row r="45" spans="8:17" ht="14.25" customHeight="1">
      <c r="H45" s="21"/>
      <c r="O45" s="14">
        <v>26</v>
      </c>
      <c r="P45" s="14" t="str">
        <f>IF(OR(AND($C$6&lt;&gt;"",ISNUMBER(SEARCH("|"&amp;$C$6&amp;"|",'Base de dados'!$J$30))),AND($C$7&lt;&gt;"",ISNUMBER(SEARCH("|"&amp;$C$7&amp;"|",'Base de dados'!$J$30))),AND($C$8&lt;&gt;"",ISNUMBER(SEARCH("|"&amp;$C$8&amp;"|",'Base de dados'!$J$30))),AND($C$9&lt;&gt;"",ISNUMBER(SEARCH("|"&amp;$C$9&amp;"|",'Base de dados'!$J$30))),AND($C$10&lt;&gt;"",ISNUMBER(SEARCH("|"&amp;$C$10&amp;"|",'Base de dados'!$J$30))),AND($C$11&lt;&gt;"",ISNUMBER(SEARCH("|"&amp;$C$11&amp;"|",'Base de dados'!$J$30))),AND($C$12&lt;&gt;"",ISNUMBER(SEARCH("|"&amp;$C$12&amp;"|",'Base de dados'!$J$30))),AND($C$13&lt;&gt;"",ISNUMBER(SEARCH("|"&amp;$C$13&amp;"|",'Base de dados'!$J$30))),AND($C$14&lt;&gt;"",ISNUMBER(SEARCH("|"&amp;$C$14&amp;"|",'Base de dados'!$J$30))),AND($C$15&lt;&gt;"",ISNUMBER(SEARCH("|"&amp;$C$15&amp;"|",'Base de dados'!$J$30))),AND($C$16&lt;&gt;"",ISNUMBER(SEARCH("|"&amp;$C$16&amp;"|",'Base de dados'!$J$30))),AND($C$17&lt;&gt;"",ISNUMBER(SEARCH("|"&amp;$C$17&amp;"|",'Base de dados'!$J$30))),AND($C$18&lt;&gt;"",ISNUMBER(SEARCH("|"&amp;$C$18&amp;"|",'Base de dados'!$J$30))),AND($C$19&lt;&gt;"",ISNUMBER(SEARCH("|"&amp;$C$19&amp;"|",'Base de dados'!$J$30))),AND($C$20&lt;&gt;"",ISNUMBER(SEARCH("|"&amp;$C$20&amp;"|",'Base de dados'!$J$30)))),"26 - Sinais e Sistemas","")</f>
        <v/>
      </c>
      <c r="Q45" s="14" t="s">
        <v>160</v>
      </c>
    </row>
    <row r="46" spans="8:17" ht="14.25" customHeight="1">
      <c r="H46" s="21"/>
      <c r="O46" s="14">
        <v>27</v>
      </c>
      <c r="P46" s="14" t="str">
        <f>IF(OR(AND($C$6&lt;&gt;"",ISNUMBER(SEARCH("|"&amp;$C$6&amp;"|",'Base de dados'!$J$31))),AND($C$7&lt;&gt;"",ISNUMBER(SEARCH("|"&amp;$C$7&amp;"|",'Base de dados'!$J$31))),AND($C$8&lt;&gt;"",ISNUMBER(SEARCH("|"&amp;$C$8&amp;"|",'Base de dados'!$J$31))),AND($C$9&lt;&gt;"",ISNUMBER(SEARCH("|"&amp;$C$9&amp;"|",'Base de dados'!$J$31))),AND($C$10&lt;&gt;"",ISNUMBER(SEARCH("|"&amp;$C$10&amp;"|",'Base de dados'!$J$31))),AND($C$11&lt;&gt;"",ISNUMBER(SEARCH("|"&amp;$C$11&amp;"|",'Base de dados'!$J$31))),AND($C$12&lt;&gt;"",ISNUMBER(SEARCH("|"&amp;$C$12&amp;"|",'Base de dados'!$J$31))),AND($C$13&lt;&gt;"",ISNUMBER(SEARCH("|"&amp;$C$13&amp;"|",'Base de dados'!$J$31))),AND($C$14&lt;&gt;"",ISNUMBER(SEARCH("|"&amp;$C$14&amp;"|",'Base de dados'!$J$31))),AND($C$15&lt;&gt;"",ISNUMBER(SEARCH("|"&amp;$C$15&amp;"|",'Base de dados'!$J$31))),AND($C$16&lt;&gt;"",ISNUMBER(SEARCH("|"&amp;$C$16&amp;"|",'Base de dados'!$J$31))),AND($C$17&lt;&gt;"",ISNUMBER(SEARCH("|"&amp;$C$17&amp;"|",'Base de dados'!$J$31))),AND($C$18&lt;&gt;"",ISNUMBER(SEARCH("|"&amp;$C$18&amp;"|",'Base de dados'!$J$31))),AND($C$19&lt;&gt;"",ISNUMBER(SEARCH("|"&amp;$C$19&amp;"|",'Base de dados'!$J$31))),AND($C$20&lt;&gt;"",ISNUMBER(SEARCH("|"&amp;$C$20&amp;"|",'Base de dados'!$J$31)))),"27 - Cálculo Numérico","")</f>
        <v/>
      </c>
      <c r="Q46" s="14" t="s">
        <v>161</v>
      </c>
    </row>
    <row r="47" spans="8:17" ht="14.25" customHeight="1">
      <c r="H47" s="21"/>
      <c r="O47" s="14">
        <v>28</v>
      </c>
      <c r="P47" s="14" t="str">
        <f>IF(OR(AND($C$6&lt;&gt;"",ISNUMBER(SEARCH("|"&amp;$C$6&amp;"|",'Base de dados'!$J$32))),AND($C$7&lt;&gt;"",ISNUMBER(SEARCH("|"&amp;$C$7&amp;"|",'Base de dados'!$J$32))),AND($C$8&lt;&gt;"",ISNUMBER(SEARCH("|"&amp;$C$8&amp;"|",'Base de dados'!$J$32))),AND($C$9&lt;&gt;"",ISNUMBER(SEARCH("|"&amp;$C$9&amp;"|",'Base de dados'!$J$32))),AND($C$10&lt;&gt;"",ISNUMBER(SEARCH("|"&amp;$C$10&amp;"|",'Base de dados'!$J$32))),AND($C$11&lt;&gt;"",ISNUMBER(SEARCH("|"&amp;$C$11&amp;"|",'Base de dados'!$J$32))),AND($C$12&lt;&gt;"",ISNUMBER(SEARCH("|"&amp;$C$12&amp;"|",'Base de dados'!$J$32))),AND($C$13&lt;&gt;"",ISNUMBER(SEARCH("|"&amp;$C$13&amp;"|",'Base de dados'!$J$32))),AND($C$14&lt;&gt;"",ISNUMBER(SEARCH("|"&amp;$C$14&amp;"|",'Base de dados'!$J$32))),AND($C$15&lt;&gt;"",ISNUMBER(SEARCH("|"&amp;$C$15&amp;"|",'Base de dados'!$J$32))),AND($C$16&lt;&gt;"",ISNUMBER(SEARCH("|"&amp;$C$16&amp;"|",'Base de dados'!$J$32))),AND($C$17&lt;&gt;"",ISNUMBER(SEARCH("|"&amp;$C$17&amp;"|",'Base de dados'!$J$32))),AND($C$18&lt;&gt;"",ISNUMBER(SEARCH("|"&amp;$C$18&amp;"|",'Base de dados'!$J$32))),AND($C$19&lt;&gt;"",ISNUMBER(SEARCH("|"&amp;$C$19&amp;"|",'Base de dados'!$J$32))),AND($C$20&lt;&gt;"",ISNUMBER(SEARCH("|"&amp;$C$20&amp;"|",'Base de dados'!$J$32)))),"28 - Eletromagnetismo","")</f>
        <v/>
      </c>
      <c r="Q47" s="14" t="s">
        <v>162</v>
      </c>
    </row>
    <row r="48" spans="8:17" ht="14.25" customHeight="1">
      <c r="H48" s="21"/>
      <c r="O48" s="14">
        <v>29</v>
      </c>
      <c r="P48" s="14" t="str">
        <f>IF(OR(AND($C$6&lt;&gt;"",ISNUMBER(SEARCH("|"&amp;$C$6&amp;"|",'Base de dados'!$J$33))),AND($C$7&lt;&gt;"",ISNUMBER(SEARCH("|"&amp;$C$7&amp;"|",'Base de dados'!$J$33))),AND($C$8&lt;&gt;"",ISNUMBER(SEARCH("|"&amp;$C$8&amp;"|",'Base de dados'!$J$33))),AND($C$9&lt;&gt;"",ISNUMBER(SEARCH("|"&amp;$C$9&amp;"|",'Base de dados'!$J$33))),AND($C$10&lt;&gt;"",ISNUMBER(SEARCH("|"&amp;$C$10&amp;"|",'Base de dados'!$J$33))),AND($C$11&lt;&gt;"",ISNUMBER(SEARCH("|"&amp;$C$11&amp;"|",'Base de dados'!$J$33))),AND($C$12&lt;&gt;"",ISNUMBER(SEARCH("|"&amp;$C$12&amp;"|",'Base de dados'!$J$33))),AND($C$13&lt;&gt;"",ISNUMBER(SEARCH("|"&amp;$C$13&amp;"|",'Base de dados'!$J$33))),AND($C$14&lt;&gt;"",ISNUMBER(SEARCH("|"&amp;$C$14&amp;"|",'Base de dados'!$J$33))),AND($C$15&lt;&gt;"",ISNUMBER(SEARCH("|"&amp;$C$15&amp;"|",'Base de dados'!$J$33))),AND($C$16&lt;&gt;"",ISNUMBER(SEARCH("|"&amp;$C$16&amp;"|",'Base de dados'!$J$33))),AND($C$17&lt;&gt;"",ISNUMBER(SEARCH("|"&amp;$C$17&amp;"|",'Base de dados'!$J$33))),AND($C$18&lt;&gt;"",ISNUMBER(SEARCH("|"&amp;$C$18&amp;"|",'Base de dados'!$J$33))),AND($C$19&lt;&gt;"",ISNUMBER(SEARCH("|"&amp;$C$19&amp;"|",'Base de dados'!$J$33))),AND($C$20&lt;&gt;"",ISNUMBER(SEARCH("|"&amp;$C$20&amp;"|",'Base de dados'!$J$33)))),"29 - Eletrônica Analógica II","")</f>
        <v/>
      </c>
      <c r="Q48" s="14" t="s">
        <v>163</v>
      </c>
    </row>
    <row r="49" spans="8:17" ht="14.25" customHeight="1">
      <c r="H49" s="21"/>
      <c r="O49" s="14">
        <v>30</v>
      </c>
      <c r="P49" s="14" t="str">
        <f>IF(OR(AND($C$6&lt;&gt;"",ISNUMBER(SEARCH("|"&amp;$C$6&amp;"|",'Base de dados'!$J$34))),AND($C$7&lt;&gt;"",ISNUMBER(SEARCH("|"&amp;$C$7&amp;"|",'Base de dados'!$J$34))),AND($C$8&lt;&gt;"",ISNUMBER(SEARCH("|"&amp;$C$8&amp;"|",'Base de dados'!$J$34))),AND($C$9&lt;&gt;"",ISNUMBER(SEARCH("|"&amp;$C$9&amp;"|",'Base de dados'!$J$34))),AND($C$10&lt;&gt;"",ISNUMBER(SEARCH("|"&amp;$C$10&amp;"|",'Base de dados'!$J$34))),AND($C$11&lt;&gt;"",ISNUMBER(SEARCH("|"&amp;$C$11&amp;"|",'Base de dados'!$J$34))),AND($C$12&lt;&gt;"",ISNUMBER(SEARCH("|"&amp;$C$12&amp;"|",'Base de dados'!$J$34))),AND($C$13&lt;&gt;"",ISNUMBER(SEARCH("|"&amp;$C$13&amp;"|",'Base de dados'!$J$34))),AND($C$14&lt;&gt;"",ISNUMBER(SEARCH("|"&amp;$C$14&amp;"|",'Base de dados'!$J$34))),AND($C$15&lt;&gt;"",ISNUMBER(SEARCH("|"&amp;$C$15&amp;"|",'Base de dados'!$J$34))),AND($C$16&lt;&gt;"",ISNUMBER(SEARCH("|"&amp;$C$16&amp;"|",'Base de dados'!$J$34))),AND($C$17&lt;&gt;"",ISNUMBER(SEARCH("|"&amp;$C$17&amp;"|",'Base de dados'!$J$34))),AND($C$18&lt;&gt;"",ISNUMBER(SEARCH("|"&amp;$C$18&amp;"|",'Base de dados'!$J$34))),AND($C$19&lt;&gt;"",ISNUMBER(SEARCH("|"&amp;$C$19&amp;"|",'Base de dados'!$J$34))),AND($C$20&lt;&gt;"",ISNUMBER(SEARCH("|"&amp;$C$20&amp;"|",'Base de dados'!$J$34)))),"30 - Experimental de Eletrônica Analógica II","")</f>
        <v/>
      </c>
      <c r="Q49" s="14" t="s">
        <v>164</v>
      </c>
    </row>
    <row r="50" spans="8:17" ht="14.25" customHeight="1">
      <c r="H50" s="21"/>
      <c r="O50" s="14">
        <v>31</v>
      </c>
      <c r="P50" s="14" t="str">
        <f>IF(OR(AND($C$6&lt;&gt;"",ISNUMBER(SEARCH("|"&amp;$C$6&amp;"|",'Base de dados'!$J$35))),AND($C$7&lt;&gt;"",ISNUMBER(SEARCH("|"&amp;$C$7&amp;"|",'Base de dados'!$J$35))),AND($C$8&lt;&gt;"",ISNUMBER(SEARCH("|"&amp;$C$8&amp;"|",'Base de dados'!$J$35))),AND($C$9&lt;&gt;"",ISNUMBER(SEARCH("|"&amp;$C$9&amp;"|",'Base de dados'!$J$35))),AND($C$10&lt;&gt;"",ISNUMBER(SEARCH("|"&amp;$C$10&amp;"|",'Base de dados'!$J$35))),AND($C$11&lt;&gt;"",ISNUMBER(SEARCH("|"&amp;$C$11&amp;"|",'Base de dados'!$J$35))),AND($C$12&lt;&gt;"",ISNUMBER(SEARCH("|"&amp;$C$12&amp;"|",'Base de dados'!$J$35))),AND($C$13&lt;&gt;"",ISNUMBER(SEARCH("|"&amp;$C$13&amp;"|",'Base de dados'!$J$35))),AND($C$14&lt;&gt;"",ISNUMBER(SEARCH("|"&amp;$C$14&amp;"|",'Base de dados'!$J$35))),AND($C$15&lt;&gt;"",ISNUMBER(SEARCH("|"&amp;$C$15&amp;"|",'Base de dados'!$J$35))),AND($C$16&lt;&gt;"",ISNUMBER(SEARCH("|"&amp;$C$16&amp;"|",'Base de dados'!$J$35))),AND($C$17&lt;&gt;"",ISNUMBER(SEARCH("|"&amp;$C$17&amp;"|",'Base de dados'!$J$35))),AND($C$18&lt;&gt;"",ISNUMBER(SEARCH("|"&amp;$C$18&amp;"|",'Base de dados'!$J$35))),AND($C$19&lt;&gt;"",ISNUMBER(SEARCH("|"&amp;$C$19&amp;"|",'Base de dados'!$J$35))),AND($C$20&lt;&gt;"",ISNUMBER(SEARCH("|"&amp;$C$20&amp;"|",'Base de dados'!$J$35)))),"31 - Eletrônica Digital","")</f>
        <v/>
      </c>
      <c r="Q50" s="14" t="s">
        <v>165</v>
      </c>
    </row>
    <row r="51" spans="8:17" ht="14.25" customHeight="1">
      <c r="H51" s="21"/>
      <c r="O51" s="14">
        <v>32</v>
      </c>
      <c r="P51" s="14" t="str">
        <f>IF(OR(AND($C$6&lt;&gt;"",ISNUMBER(SEARCH("|"&amp;$C$6&amp;"|",'Base de dados'!$J$36))),AND($C$7&lt;&gt;"",ISNUMBER(SEARCH("|"&amp;$C$7&amp;"|",'Base de dados'!$J$36))),AND($C$8&lt;&gt;"",ISNUMBER(SEARCH("|"&amp;$C$8&amp;"|",'Base de dados'!$J$36))),AND($C$9&lt;&gt;"",ISNUMBER(SEARCH("|"&amp;$C$9&amp;"|",'Base de dados'!$J$36))),AND($C$10&lt;&gt;"",ISNUMBER(SEARCH("|"&amp;$C$10&amp;"|",'Base de dados'!$J$36))),AND($C$11&lt;&gt;"",ISNUMBER(SEARCH("|"&amp;$C$11&amp;"|",'Base de dados'!$J$36))),AND($C$12&lt;&gt;"",ISNUMBER(SEARCH("|"&amp;$C$12&amp;"|",'Base de dados'!$J$36))),AND($C$13&lt;&gt;"",ISNUMBER(SEARCH("|"&amp;$C$13&amp;"|",'Base de dados'!$J$36))),AND($C$14&lt;&gt;"",ISNUMBER(SEARCH("|"&amp;$C$14&amp;"|",'Base de dados'!$J$36))),AND($C$15&lt;&gt;"",ISNUMBER(SEARCH("|"&amp;$C$15&amp;"|",'Base de dados'!$J$36))),AND($C$16&lt;&gt;"",ISNUMBER(SEARCH("|"&amp;$C$16&amp;"|",'Base de dados'!$J$36))),AND($C$17&lt;&gt;"",ISNUMBER(SEARCH("|"&amp;$C$17&amp;"|",'Base de dados'!$J$36))),AND($C$18&lt;&gt;"",ISNUMBER(SEARCH("|"&amp;$C$18&amp;"|",'Base de dados'!$J$36))),AND($C$19&lt;&gt;"",ISNUMBER(SEARCH("|"&amp;$C$19&amp;"|",'Base de dados'!$J$36))),AND($C$20&lt;&gt;"",ISNUMBER(SEARCH("|"&amp;$C$20&amp;"|",'Base de dados'!$J$36)))),"32 - Experimental de Eletrônica Digital","")</f>
        <v/>
      </c>
      <c r="Q51" s="14" t="s">
        <v>166</v>
      </c>
    </row>
    <row r="52" spans="8:17" ht="14.25" customHeight="1">
      <c r="H52" s="21"/>
      <c r="O52" s="14">
        <v>33</v>
      </c>
      <c r="P52" s="14" t="str">
        <f>IF(OR(AND($C$6&lt;&gt;"",ISNUMBER(SEARCH("|"&amp;$C$6&amp;"|",'Base de dados'!$J$37))),AND($C$7&lt;&gt;"",ISNUMBER(SEARCH("|"&amp;$C$7&amp;"|",'Base de dados'!$J$37))),AND($C$8&lt;&gt;"",ISNUMBER(SEARCH("|"&amp;$C$8&amp;"|",'Base de dados'!$J$37))),AND($C$9&lt;&gt;"",ISNUMBER(SEARCH("|"&amp;$C$9&amp;"|",'Base de dados'!$J$37))),AND($C$10&lt;&gt;"",ISNUMBER(SEARCH("|"&amp;$C$10&amp;"|",'Base de dados'!$J$37))),AND($C$11&lt;&gt;"",ISNUMBER(SEARCH("|"&amp;$C$11&amp;"|",'Base de dados'!$J$37))),AND($C$12&lt;&gt;"",ISNUMBER(SEARCH("|"&amp;$C$12&amp;"|",'Base de dados'!$J$37))),AND($C$13&lt;&gt;"",ISNUMBER(SEARCH("|"&amp;$C$13&amp;"|",'Base de dados'!$J$37))),AND($C$14&lt;&gt;"",ISNUMBER(SEARCH("|"&amp;$C$14&amp;"|",'Base de dados'!$J$37))),AND($C$15&lt;&gt;"",ISNUMBER(SEARCH("|"&amp;$C$15&amp;"|",'Base de dados'!$J$37))),AND($C$16&lt;&gt;"",ISNUMBER(SEARCH("|"&amp;$C$16&amp;"|",'Base de dados'!$J$37))),AND($C$17&lt;&gt;"",ISNUMBER(SEARCH("|"&amp;$C$17&amp;"|",'Base de dados'!$J$37))),AND($C$18&lt;&gt;"",ISNUMBER(SEARCH("|"&amp;$C$18&amp;"|",'Base de dados'!$J$37))),AND($C$19&lt;&gt;"",ISNUMBER(SEARCH("|"&amp;$C$19&amp;"|",'Base de dados'!$J$37))),AND($C$20&lt;&gt;"",ISNUMBER(SEARCH("|"&amp;$C$20&amp;"|",'Base de dados'!$J$37)))),"33 - Processamento Digital de Sinais","")</f>
        <v/>
      </c>
      <c r="Q52" s="14" t="s">
        <v>167</v>
      </c>
    </row>
    <row r="53" spans="8:17" ht="14.25" customHeight="1">
      <c r="H53" s="21"/>
      <c r="O53" s="14">
        <v>34</v>
      </c>
      <c r="P53" s="14" t="str">
        <f>IF(OR(AND($C$6&lt;&gt;"",ISNUMBER(SEARCH("|"&amp;$C$6&amp;"|",'Base de dados'!$J$38))),AND($C$7&lt;&gt;"",ISNUMBER(SEARCH("|"&amp;$C$7&amp;"|",'Base de dados'!$J$38))),AND($C$8&lt;&gt;"",ISNUMBER(SEARCH("|"&amp;$C$8&amp;"|",'Base de dados'!$J$38))),AND($C$9&lt;&gt;"",ISNUMBER(SEARCH("|"&amp;$C$9&amp;"|",'Base de dados'!$J$38))),AND($C$10&lt;&gt;"",ISNUMBER(SEARCH("|"&amp;$C$10&amp;"|",'Base de dados'!$J$38))),AND($C$11&lt;&gt;"",ISNUMBER(SEARCH("|"&amp;$C$11&amp;"|",'Base de dados'!$J$38))),AND($C$12&lt;&gt;"",ISNUMBER(SEARCH("|"&amp;$C$12&amp;"|",'Base de dados'!$J$38))),AND($C$13&lt;&gt;"",ISNUMBER(SEARCH("|"&amp;$C$13&amp;"|",'Base de dados'!$J$38))),AND($C$14&lt;&gt;"",ISNUMBER(SEARCH("|"&amp;$C$14&amp;"|",'Base de dados'!$J$38))),AND($C$15&lt;&gt;"",ISNUMBER(SEARCH("|"&amp;$C$15&amp;"|",'Base de dados'!$J$38))),AND($C$16&lt;&gt;"",ISNUMBER(SEARCH("|"&amp;$C$16&amp;"|",'Base de dados'!$J$38))),AND($C$17&lt;&gt;"",ISNUMBER(SEARCH("|"&amp;$C$17&amp;"|",'Base de dados'!$J$38))),AND($C$18&lt;&gt;"",ISNUMBER(SEARCH("|"&amp;$C$18&amp;"|",'Base de dados'!$J$38))),AND($C$19&lt;&gt;"",ISNUMBER(SEARCH("|"&amp;$C$19&amp;"|",'Base de dados'!$J$38))),AND($C$20&lt;&gt;"",ISNUMBER(SEARCH("|"&amp;$C$20&amp;"|",'Base de dados'!$J$38)))),"34 - Princípios de Comunicação","")</f>
        <v/>
      </c>
      <c r="Q53" s="14" t="s">
        <v>168</v>
      </c>
    </row>
    <row r="54" spans="8:17" ht="14.25" customHeight="1">
      <c r="H54" s="21"/>
      <c r="O54" s="14">
        <v>35</v>
      </c>
      <c r="P54" s="14" t="str">
        <f>IF(OR(AND($C$6&lt;&gt;"",ISNUMBER(SEARCH("|"&amp;$C$6&amp;"|",'Base de dados'!$J$39))),AND($C$7&lt;&gt;"",ISNUMBER(SEARCH("|"&amp;$C$7&amp;"|",'Base de dados'!$J$39))),AND($C$8&lt;&gt;"",ISNUMBER(SEARCH("|"&amp;$C$8&amp;"|",'Base de dados'!$J$39))),AND($C$9&lt;&gt;"",ISNUMBER(SEARCH("|"&amp;$C$9&amp;"|",'Base de dados'!$J$39))),AND($C$10&lt;&gt;"",ISNUMBER(SEARCH("|"&amp;$C$10&amp;"|",'Base de dados'!$J$39))),AND($C$11&lt;&gt;"",ISNUMBER(SEARCH("|"&amp;$C$11&amp;"|",'Base de dados'!$J$39))),AND($C$12&lt;&gt;"",ISNUMBER(SEARCH("|"&amp;$C$12&amp;"|",'Base de dados'!$J$39))),AND($C$13&lt;&gt;"",ISNUMBER(SEARCH("|"&amp;$C$13&amp;"|",'Base de dados'!$J$39))),AND($C$14&lt;&gt;"",ISNUMBER(SEARCH("|"&amp;$C$14&amp;"|",'Base de dados'!$J$39))),AND($C$15&lt;&gt;"",ISNUMBER(SEARCH("|"&amp;$C$15&amp;"|",'Base de dados'!$J$39))),AND($C$16&lt;&gt;"",ISNUMBER(SEARCH("|"&amp;$C$16&amp;"|",'Base de dados'!$J$39))),AND($C$17&lt;&gt;"",ISNUMBER(SEARCH("|"&amp;$C$17&amp;"|",'Base de dados'!$J$39))),AND($C$18&lt;&gt;"",ISNUMBER(SEARCH("|"&amp;$C$18&amp;"|",'Base de dados'!$J$39))),AND($C$19&lt;&gt;"",ISNUMBER(SEARCH("|"&amp;$C$19&amp;"|",'Base de dados'!$J$39))),AND($C$20&lt;&gt;"",ISNUMBER(SEARCH("|"&amp;$C$20&amp;"|",'Base de dados'!$J$39)))),"35 - Circuitos Elétricos Polifásicos","")</f>
        <v/>
      </c>
      <c r="Q54" s="14" t="s">
        <v>169</v>
      </c>
    </row>
    <row r="55" spans="8:17" ht="14.25" customHeight="1">
      <c r="H55" s="21"/>
      <c r="O55" s="14">
        <v>36</v>
      </c>
      <c r="P55" s="14" t="str">
        <f>IF(OR(AND($C$6&lt;&gt;"",ISNUMBER(SEARCH("|"&amp;$C$6&amp;"|",'Base de dados'!$J$40))),AND($C$7&lt;&gt;"",ISNUMBER(SEARCH("|"&amp;$C$7&amp;"|",'Base de dados'!$J$40))),AND($C$8&lt;&gt;"",ISNUMBER(SEARCH("|"&amp;$C$8&amp;"|",'Base de dados'!$J$40))),AND($C$9&lt;&gt;"",ISNUMBER(SEARCH("|"&amp;$C$9&amp;"|",'Base de dados'!$J$40))),AND($C$10&lt;&gt;"",ISNUMBER(SEARCH("|"&amp;$C$10&amp;"|",'Base de dados'!$J$40))),AND($C$11&lt;&gt;"",ISNUMBER(SEARCH("|"&amp;$C$11&amp;"|",'Base de dados'!$J$40))),AND($C$12&lt;&gt;"",ISNUMBER(SEARCH("|"&amp;$C$12&amp;"|",'Base de dados'!$J$40))),AND($C$13&lt;&gt;"",ISNUMBER(SEARCH("|"&amp;$C$13&amp;"|",'Base de dados'!$J$40))),AND($C$14&lt;&gt;"",ISNUMBER(SEARCH("|"&amp;$C$14&amp;"|",'Base de dados'!$J$40))),AND($C$15&lt;&gt;"",ISNUMBER(SEARCH("|"&amp;$C$15&amp;"|",'Base de dados'!$J$40))),AND($C$16&lt;&gt;"",ISNUMBER(SEARCH("|"&amp;$C$16&amp;"|",'Base de dados'!$J$40))),AND($C$17&lt;&gt;"",ISNUMBER(SEARCH("|"&amp;$C$17&amp;"|",'Base de dados'!$J$40))),AND($C$18&lt;&gt;"",ISNUMBER(SEARCH("|"&amp;$C$18&amp;"|",'Base de dados'!$J$40))),AND($C$19&lt;&gt;"",ISNUMBER(SEARCH("|"&amp;$C$19&amp;"|",'Base de dados'!$J$40))),AND($C$20&lt;&gt;"",ISNUMBER(SEARCH("|"&amp;$C$20&amp;"|",'Base de dados'!$J$40)))),"36 - Ondas Eletromagnéticas","")</f>
        <v/>
      </c>
      <c r="Q55" s="14" t="s">
        <v>170</v>
      </c>
    </row>
    <row r="56" spans="8:17" ht="14.25" customHeight="1">
      <c r="H56" s="21"/>
      <c r="O56" s="14">
        <v>37</v>
      </c>
      <c r="P56" s="14" t="str">
        <f>IF(OR(AND($C$6&lt;&gt;"",ISNUMBER(SEARCH("|"&amp;$C$6&amp;"|",'Base de dados'!$J$41))),AND($C$7&lt;&gt;"",ISNUMBER(SEARCH("|"&amp;$C$7&amp;"|",'Base de dados'!$J$41))),AND($C$8&lt;&gt;"",ISNUMBER(SEARCH("|"&amp;$C$8&amp;"|",'Base de dados'!$J$41))),AND($C$9&lt;&gt;"",ISNUMBER(SEARCH("|"&amp;$C$9&amp;"|",'Base de dados'!$J$41))),AND($C$10&lt;&gt;"",ISNUMBER(SEARCH("|"&amp;$C$10&amp;"|",'Base de dados'!$J$41))),AND($C$11&lt;&gt;"",ISNUMBER(SEARCH("|"&amp;$C$11&amp;"|",'Base de dados'!$J$41))),AND($C$12&lt;&gt;"",ISNUMBER(SEARCH("|"&amp;$C$12&amp;"|",'Base de dados'!$J$41))),AND($C$13&lt;&gt;"",ISNUMBER(SEARCH("|"&amp;$C$13&amp;"|",'Base de dados'!$J$41))),AND($C$14&lt;&gt;"",ISNUMBER(SEARCH("|"&amp;$C$14&amp;"|",'Base de dados'!$J$41))),AND($C$15&lt;&gt;"",ISNUMBER(SEARCH("|"&amp;$C$15&amp;"|",'Base de dados'!$J$41))),AND($C$16&lt;&gt;"",ISNUMBER(SEARCH("|"&amp;$C$16&amp;"|",'Base de dados'!$J$41))),AND($C$17&lt;&gt;"",ISNUMBER(SEARCH("|"&amp;$C$17&amp;"|",'Base de dados'!$J$41))),AND($C$18&lt;&gt;"",ISNUMBER(SEARCH("|"&amp;$C$18&amp;"|",'Base de dados'!$J$41))),AND($C$19&lt;&gt;"",ISNUMBER(SEARCH("|"&amp;$C$19&amp;"|",'Base de dados'!$J$41))),AND($C$20&lt;&gt;"",ISNUMBER(SEARCH("|"&amp;$C$20&amp;"|",'Base de dados'!$J$41)))),"37 - Microcontroladores","")</f>
        <v/>
      </c>
      <c r="Q56" s="14" t="s">
        <v>171</v>
      </c>
    </row>
    <row r="57" spans="8:17" ht="14.25" customHeight="1">
      <c r="H57" s="21"/>
      <c r="O57" s="14">
        <v>38</v>
      </c>
      <c r="P57" s="14" t="str">
        <f>IF(OR(AND($C$6&lt;&gt;"",ISNUMBER(SEARCH("|"&amp;$C$6&amp;"|",'Base de dados'!$J$42))),AND($C$7&lt;&gt;"",ISNUMBER(SEARCH("|"&amp;$C$7&amp;"|",'Base de dados'!$J$42))),AND($C$8&lt;&gt;"",ISNUMBER(SEARCH("|"&amp;$C$8&amp;"|",'Base de dados'!$J$42))),AND($C$9&lt;&gt;"",ISNUMBER(SEARCH("|"&amp;$C$9&amp;"|",'Base de dados'!$J$42))),AND($C$10&lt;&gt;"",ISNUMBER(SEARCH("|"&amp;$C$10&amp;"|",'Base de dados'!$J$42))),AND($C$11&lt;&gt;"",ISNUMBER(SEARCH("|"&amp;$C$11&amp;"|",'Base de dados'!$J$42))),AND($C$12&lt;&gt;"",ISNUMBER(SEARCH("|"&amp;$C$12&amp;"|",'Base de dados'!$J$42))),AND($C$13&lt;&gt;"",ISNUMBER(SEARCH("|"&amp;$C$13&amp;"|",'Base de dados'!$J$42))),AND($C$14&lt;&gt;"",ISNUMBER(SEARCH("|"&amp;$C$14&amp;"|",'Base de dados'!$J$42))),AND($C$15&lt;&gt;"",ISNUMBER(SEARCH("|"&amp;$C$15&amp;"|",'Base de dados'!$J$42))),AND($C$16&lt;&gt;"",ISNUMBER(SEARCH("|"&amp;$C$16&amp;"|",'Base de dados'!$J$42))),AND($C$17&lt;&gt;"",ISNUMBER(SEARCH("|"&amp;$C$17&amp;"|",'Base de dados'!$J$42))),AND($C$18&lt;&gt;"",ISNUMBER(SEARCH("|"&amp;$C$18&amp;"|",'Base de dados'!$J$42))),AND($C$19&lt;&gt;"",ISNUMBER(SEARCH("|"&amp;$C$19&amp;"|",'Base de dados'!$J$42))),AND($C$20&lt;&gt;"",ISNUMBER(SEARCH("|"&amp;$C$20&amp;"|",'Base de dados'!$J$42)))),"38 - Optativa - Eixo de Computação","")</f>
        <v/>
      </c>
      <c r="Q57" s="14" t="s">
        <v>172</v>
      </c>
    </row>
    <row r="58" spans="8:17" ht="14.25" customHeight="1">
      <c r="H58" s="21"/>
      <c r="O58" s="14">
        <v>39</v>
      </c>
      <c r="P58" s="14" t="str">
        <f>IF(OR(AND($C$6&lt;&gt;"",ISNUMBER(SEARCH("|"&amp;$C$6&amp;"|",'Base de dados'!$J$43))),AND($C$7&lt;&gt;"",ISNUMBER(SEARCH("|"&amp;$C$7&amp;"|",'Base de dados'!$J$43))),AND($C$8&lt;&gt;"",ISNUMBER(SEARCH("|"&amp;$C$8&amp;"|",'Base de dados'!$J$43))),AND($C$9&lt;&gt;"",ISNUMBER(SEARCH("|"&amp;$C$9&amp;"|",'Base de dados'!$J$43))),AND($C$10&lt;&gt;"",ISNUMBER(SEARCH("|"&amp;$C$10&amp;"|",'Base de dados'!$J$43))),AND($C$11&lt;&gt;"",ISNUMBER(SEARCH("|"&amp;$C$11&amp;"|",'Base de dados'!$J$43))),AND($C$12&lt;&gt;"",ISNUMBER(SEARCH("|"&amp;$C$12&amp;"|",'Base de dados'!$J$43))),AND($C$13&lt;&gt;"",ISNUMBER(SEARCH("|"&amp;$C$13&amp;"|",'Base de dados'!$J$43))),AND($C$14&lt;&gt;"",ISNUMBER(SEARCH("|"&amp;$C$14&amp;"|",'Base de dados'!$J$43))),AND($C$15&lt;&gt;"",ISNUMBER(SEARCH("|"&amp;$C$15&amp;"|",'Base de dados'!$J$43))),AND($C$16&lt;&gt;"",ISNUMBER(SEARCH("|"&amp;$C$16&amp;"|",'Base de dados'!$J$43))),AND($C$17&lt;&gt;"",ISNUMBER(SEARCH("|"&amp;$C$17&amp;"|",'Base de dados'!$J$43))),AND($C$18&lt;&gt;"",ISNUMBER(SEARCH("|"&amp;$C$18&amp;"|",'Base de dados'!$J$43))),AND($C$19&lt;&gt;"",ISNUMBER(SEARCH("|"&amp;$C$19&amp;"|",'Base de dados'!$J$43))),AND($C$20&lt;&gt;"",ISNUMBER(SEARCH("|"&amp;$C$20&amp;"|",'Base de dados'!$J$43)))),"39 - Comunicações Digitais I","")</f>
        <v/>
      </c>
      <c r="Q58" s="14" t="s">
        <v>173</v>
      </c>
    </row>
    <row r="59" spans="8:17" ht="14.25" customHeight="1">
      <c r="H59" s="21"/>
      <c r="O59" s="14">
        <v>40</v>
      </c>
      <c r="P59" s="14" t="str">
        <f>IF(OR(AND($C$6&lt;&gt;"",ISNUMBER(SEARCH("|"&amp;$C$6&amp;"|",'Base de dados'!$J$44))),AND($C$7&lt;&gt;"",ISNUMBER(SEARCH("|"&amp;$C$7&amp;"|",'Base de dados'!$J$44))),AND($C$8&lt;&gt;"",ISNUMBER(SEARCH("|"&amp;$C$8&amp;"|",'Base de dados'!$J$44))),AND($C$9&lt;&gt;"",ISNUMBER(SEARCH("|"&amp;$C$9&amp;"|",'Base de dados'!$J$44))),AND($C$10&lt;&gt;"",ISNUMBER(SEARCH("|"&amp;$C$10&amp;"|",'Base de dados'!$J$44))),AND($C$11&lt;&gt;"",ISNUMBER(SEARCH("|"&amp;$C$11&amp;"|",'Base de dados'!$J$44))),AND($C$12&lt;&gt;"",ISNUMBER(SEARCH("|"&amp;$C$12&amp;"|",'Base de dados'!$J$44))),AND($C$13&lt;&gt;"",ISNUMBER(SEARCH("|"&amp;$C$13&amp;"|",'Base de dados'!$J$44))),AND($C$14&lt;&gt;"",ISNUMBER(SEARCH("|"&amp;$C$14&amp;"|",'Base de dados'!$J$44))),AND($C$15&lt;&gt;"",ISNUMBER(SEARCH("|"&amp;$C$15&amp;"|",'Base de dados'!$J$44))),AND($C$16&lt;&gt;"",ISNUMBER(SEARCH("|"&amp;$C$16&amp;"|",'Base de dados'!$J$44))),AND($C$17&lt;&gt;"",ISNUMBER(SEARCH("|"&amp;$C$17&amp;"|",'Base de dados'!$J$44))),AND($C$18&lt;&gt;"",ISNUMBER(SEARCH("|"&amp;$C$18&amp;"|",'Base de dados'!$J$44))),AND($C$19&lt;&gt;"",ISNUMBER(SEARCH("|"&amp;$C$19&amp;"|",'Base de dados'!$J$44))),AND($C$20&lt;&gt;"",ISNUMBER(SEARCH("|"&amp;$C$20&amp;"|",'Base de dados'!$J$44)))),"40 - Sistemas de Controle","")</f>
        <v/>
      </c>
      <c r="Q59" s="14" t="s">
        <v>174</v>
      </c>
    </row>
    <row r="60" spans="8:17" ht="14.25" customHeight="1">
      <c r="H60" s="21"/>
      <c r="O60" s="14">
        <v>41</v>
      </c>
      <c r="P60" s="14" t="str">
        <f>IF(OR(AND($C$6&lt;&gt;"",ISNUMBER(SEARCH("|"&amp;$C$6&amp;"|",'Base de dados'!$J$45))),AND($C$7&lt;&gt;"",ISNUMBER(SEARCH("|"&amp;$C$7&amp;"|",'Base de dados'!$J$45))),AND($C$8&lt;&gt;"",ISNUMBER(SEARCH("|"&amp;$C$8&amp;"|",'Base de dados'!$J$45))),AND($C$9&lt;&gt;"",ISNUMBER(SEARCH("|"&amp;$C$9&amp;"|",'Base de dados'!$J$45))),AND($C$10&lt;&gt;"",ISNUMBER(SEARCH("|"&amp;$C$10&amp;"|",'Base de dados'!$J$45))),AND($C$11&lt;&gt;"",ISNUMBER(SEARCH("|"&amp;$C$11&amp;"|",'Base de dados'!$J$45))),AND($C$12&lt;&gt;"",ISNUMBER(SEARCH("|"&amp;$C$12&amp;"|",'Base de dados'!$J$45))),AND($C$13&lt;&gt;"",ISNUMBER(SEARCH("|"&amp;$C$13&amp;"|",'Base de dados'!$J$45))),AND($C$14&lt;&gt;"",ISNUMBER(SEARCH("|"&amp;$C$14&amp;"|",'Base de dados'!$J$45))),AND($C$15&lt;&gt;"",ISNUMBER(SEARCH("|"&amp;$C$15&amp;"|",'Base de dados'!$J$45))),AND($C$16&lt;&gt;"",ISNUMBER(SEARCH("|"&amp;$C$16&amp;"|",'Base de dados'!$J$45))),AND($C$17&lt;&gt;"",ISNUMBER(SEARCH("|"&amp;$C$17&amp;"|",'Base de dados'!$J$45))),AND($C$18&lt;&gt;"",ISNUMBER(SEARCH("|"&amp;$C$18&amp;"|",'Base de dados'!$J$45))),AND($C$19&lt;&gt;"",ISNUMBER(SEARCH("|"&amp;$C$19&amp;"|",'Base de dados'!$J$45))),AND($C$20&lt;&gt;"",ISNUMBER(SEARCH("|"&amp;$C$20&amp;"|",'Base de dados'!$J$45)))),"41 - Conversão de Energia e Introdução às Máquinas Elétricas","")</f>
        <v/>
      </c>
      <c r="Q60" s="14" t="s">
        <v>175</v>
      </c>
    </row>
    <row r="61" spans="8:17" ht="14.25" customHeight="1">
      <c r="H61" s="21"/>
      <c r="O61" s="14">
        <v>42</v>
      </c>
      <c r="P61" s="14" t="str">
        <f>IF(OR(AND($C$6&lt;&gt;"",ISNUMBER(SEARCH("|"&amp;$C$6&amp;"|",'Base de dados'!$J$46))),AND($C$7&lt;&gt;"",ISNUMBER(SEARCH("|"&amp;$C$7&amp;"|",'Base de dados'!$J$46))),AND($C$8&lt;&gt;"",ISNUMBER(SEARCH("|"&amp;$C$8&amp;"|",'Base de dados'!$J$46))),AND($C$9&lt;&gt;"",ISNUMBER(SEARCH("|"&amp;$C$9&amp;"|",'Base de dados'!$J$46))),AND($C$10&lt;&gt;"",ISNUMBER(SEARCH("|"&amp;$C$10&amp;"|",'Base de dados'!$J$46))),AND($C$11&lt;&gt;"",ISNUMBER(SEARCH("|"&amp;$C$11&amp;"|",'Base de dados'!$J$46))),AND($C$12&lt;&gt;"",ISNUMBER(SEARCH("|"&amp;$C$12&amp;"|",'Base de dados'!$J$46))),AND($C$13&lt;&gt;"",ISNUMBER(SEARCH("|"&amp;$C$13&amp;"|",'Base de dados'!$J$46))),AND($C$14&lt;&gt;"",ISNUMBER(SEARCH("|"&amp;$C$14&amp;"|",'Base de dados'!$J$46))),AND($C$15&lt;&gt;"",ISNUMBER(SEARCH("|"&amp;$C$15&amp;"|",'Base de dados'!$J$46))),AND($C$16&lt;&gt;"",ISNUMBER(SEARCH("|"&amp;$C$16&amp;"|",'Base de dados'!$J$46))),AND($C$17&lt;&gt;"",ISNUMBER(SEARCH("|"&amp;$C$17&amp;"|",'Base de dados'!$J$46))),AND($C$18&lt;&gt;"",ISNUMBER(SEARCH("|"&amp;$C$18&amp;"|",'Base de dados'!$J$46))),AND($C$19&lt;&gt;"",ISNUMBER(SEARCH("|"&amp;$C$19&amp;"|",'Base de dados'!$J$46))),AND($C$20&lt;&gt;"",ISNUMBER(SEARCH("|"&amp;$C$20&amp;"|",'Base de dados'!$J$46)))),"42 - Experimental de Conversão de Energia e Introdução às Máquinas Elétricas","")</f>
        <v/>
      </c>
      <c r="Q61" s="14" t="s">
        <v>176</v>
      </c>
    </row>
    <row r="62" spans="8:17" ht="14.25" customHeight="1">
      <c r="H62" s="21"/>
      <c r="O62" s="14">
        <v>43</v>
      </c>
      <c r="P62" s="14" t="str">
        <f>IF(OR(AND($C$6&lt;&gt;"",ISNUMBER(SEARCH("|"&amp;$C$6&amp;"|",'Base de dados'!$J$47))),AND($C$7&lt;&gt;"",ISNUMBER(SEARCH("|"&amp;$C$7&amp;"|",'Base de dados'!$J$47))),AND($C$8&lt;&gt;"",ISNUMBER(SEARCH("|"&amp;$C$8&amp;"|",'Base de dados'!$J$47))),AND($C$9&lt;&gt;"",ISNUMBER(SEARCH("|"&amp;$C$9&amp;"|",'Base de dados'!$J$47))),AND($C$10&lt;&gt;"",ISNUMBER(SEARCH("|"&amp;$C$10&amp;"|",'Base de dados'!$J$47))),AND($C$11&lt;&gt;"",ISNUMBER(SEARCH("|"&amp;$C$11&amp;"|",'Base de dados'!$J$47))),AND($C$12&lt;&gt;"",ISNUMBER(SEARCH("|"&amp;$C$12&amp;"|",'Base de dados'!$J$47))),AND($C$13&lt;&gt;"",ISNUMBER(SEARCH("|"&amp;$C$13&amp;"|",'Base de dados'!$J$47))),AND($C$14&lt;&gt;"",ISNUMBER(SEARCH("|"&amp;$C$14&amp;"|",'Base de dados'!$J$47))),AND($C$15&lt;&gt;"",ISNUMBER(SEARCH("|"&amp;$C$15&amp;"|",'Base de dados'!$J$47))),AND($C$16&lt;&gt;"",ISNUMBER(SEARCH("|"&amp;$C$16&amp;"|",'Base de dados'!$J$47))),AND($C$17&lt;&gt;"",ISNUMBER(SEARCH("|"&amp;$C$17&amp;"|",'Base de dados'!$J$47))),AND($C$18&lt;&gt;"",ISNUMBER(SEARCH("|"&amp;$C$18&amp;"|",'Base de dados'!$J$47))),AND($C$19&lt;&gt;"",ISNUMBER(SEARCH("|"&amp;$C$19&amp;"|",'Base de dados'!$J$47))),AND($C$20&lt;&gt;"",ISNUMBER(SEARCH("|"&amp;$C$20&amp;"|",'Base de dados'!$J$47)))),"43 - Linhas de Transmissão e Radiação","")</f>
        <v/>
      </c>
      <c r="Q62" s="14" t="s">
        <v>177</v>
      </c>
    </row>
    <row r="63" spans="8:17" ht="14.25" customHeight="1">
      <c r="H63" s="21"/>
      <c r="O63" s="14">
        <v>44</v>
      </c>
      <c r="P63" s="14" t="str">
        <f>IF(OR(AND($C$6&lt;&gt;"",ISNUMBER(SEARCH("|"&amp;$C$6&amp;"|",'Base de dados'!$J$48))),AND($C$7&lt;&gt;"",ISNUMBER(SEARCH("|"&amp;$C$7&amp;"|",'Base de dados'!$J$48))),AND($C$8&lt;&gt;"",ISNUMBER(SEARCH("|"&amp;$C$8&amp;"|",'Base de dados'!$J$48))),AND($C$9&lt;&gt;"",ISNUMBER(SEARCH("|"&amp;$C$9&amp;"|",'Base de dados'!$J$48))),AND($C$10&lt;&gt;"",ISNUMBER(SEARCH("|"&amp;$C$10&amp;"|",'Base de dados'!$J$48))),AND($C$11&lt;&gt;"",ISNUMBER(SEARCH("|"&amp;$C$11&amp;"|",'Base de dados'!$J$48))),AND($C$12&lt;&gt;"",ISNUMBER(SEARCH("|"&amp;$C$12&amp;"|",'Base de dados'!$J$48))),AND($C$13&lt;&gt;"",ISNUMBER(SEARCH("|"&amp;$C$13&amp;"|",'Base de dados'!$J$48))),AND($C$14&lt;&gt;"",ISNUMBER(SEARCH("|"&amp;$C$14&amp;"|",'Base de dados'!$J$48))),AND($C$15&lt;&gt;"",ISNUMBER(SEARCH("|"&amp;$C$15&amp;"|",'Base de dados'!$J$48))),AND($C$16&lt;&gt;"",ISNUMBER(SEARCH("|"&amp;$C$16&amp;"|",'Base de dados'!$J$48))),AND($C$17&lt;&gt;"",ISNUMBER(SEARCH("|"&amp;$C$17&amp;"|",'Base de dados'!$J$48))),AND($C$18&lt;&gt;"",ISNUMBER(SEARCH("|"&amp;$C$18&amp;"|",'Base de dados'!$J$48))),AND($C$19&lt;&gt;"",ISNUMBER(SEARCH("|"&amp;$C$19&amp;"|",'Base de dados'!$J$48))),AND($C$20&lt;&gt;"",ISNUMBER(SEARCH("|"&amp;$C$20&amp;"|",'Base de dados'!$J$48)))),"44 - Eletrônica para Radiofrequência","")</f>
        <v/>
      </c>
      <c r="Q63" s="14" t="s">
        <v>178</v>
      </c>
    </row>
    <row r="64" spans="8:17" ht="14.25" customHeight="1">
      <c r="H64" s="21"/>
      <c r="O64" s="14">
        <v>45</v>
      </c>
      <c r="P64" s="14" t="str">
        <f>IF(OR(AND($C$6&lt;&gt;"",ISNUMBER(SEARCH("|"&amp;$C$6&amp;"|",'Base de dados'!$J$49))),AND($C$7&lt;&gt;"",ISNUMBER(SEARCH("|"&amp;$C$7&amp;"|",'Base de dados'!$J$49))),AND($C$8&lt;&gt;"",ISNUMBER(SEARCH("|"&amp;$C$8&amp;"|",'Base de dados'!$J$49))),AND($C$9&lt;&gt;"",ISNUMBER(SEARCH("|"&amp;$C$9&amp;"|",'Base de dados'!$J$49))),AND($C$10&lt;&gt;"",ISNUMBER(SEARCH("|"&amp;$C$10&amp;"|",'Base de dados'!$J$49))),AND($C$11&lt;&gt;"",ISNUMBER(SEARCH("|"&amp;$C$11&amp;"|",'Base de dados'!$J$49))),AND($C$12&lt;&gt;"",ISNUMBER(SEARCH("|"&amp;$C$12&amp;"|",'Base de dados'!$J$49))),AND($C$13&lt;&gt;"",ISNUMBER(SEARCH("|"&amp;$C$13&amp;"|",'Base de dados'!$J$49))),AND($C$14&lt;&gt;"",ISNUMBER(SEARCH("|"&amp;$C$14&amp;"|",'Base de dados'!$J$49))),AND($C$15&lt;&gt;"",ISNUMBER(SEARCH("|"&amp;$C$15&amp;"|",'Base de dados'!$J$49))),AND($C$16&lt;&gt;"",ISNUMBER(SEARCH("|"&amp;$C$16&amp;"|",'Base de dados'!$J$49))),AND($C$17&lt;&gt;"",ISNUMBER(SEARCH("|"&amp;$C$17&amp;"|",'Base de dados'!$J$49))),AND($C$18&lt;&gt;"",ISNUMBER(SEARCH("|"&amp;$C$18&amp;"|",'Base de dados'!$J$49))),AND($C$19&lt;&gt;"",ISNUMBER(SEARCH("|"&amp;$C$19&amp;"|",'Base de dados'!$J$49))),AND($C$20&lt;&gt;"",ISNUMBER(SEARCH("|"&amp;$C$20&amp;"|",'Base de dados'!$J$49)))),"45 - Comunicações Digitais II","")</f>
        <v/>
      </c>
      <c r="Q64" s="14" t="s">
        <v>179</v>
      </c>
    </row>
    <row r="65" spans="1:17" ht="14.25" customHeight="1">
      <c r="H65" s="21"/>
      <c r="O65" s="14">
        <v>46</v>
      </c>
      <c r="P65" s="14" t="str">
        <f>IF(OR(AND($C$6&lt;&gt;"",ISNUMBER(SEARCH("|"&amp;$C$6&amp;"|",'Base de dados'!$J$50))),AND($C$7&lt;&gt;"",ISNUMBER(SEARCH("|"&amp;$C$7&amp;"|",'Base de dados'!$J$50))),AND($C$8&lt;&gt;"",ISNUMBER(SEARCH("|"&amp;$C$8&amp;"|",'Base de dados'!$J$50))),AND($C$9&lt;&gt;"",ISNUMBER(SEARCH("|"&amp;$C$9&amp;"|",'Base de dados'!$J$50))),AND($C$10&lt;&gt;"",ISNUMBER(SEARCH("|"&amp;$C$10&amp;"|",'Base de dados'!$J$50))),AND($C$11&lt;&gt;"",ISNUMBER(SEARCH("|"&amp;$C$11&amp;"|",'Base de dados'!$J$50))),AND($C$12&lt;&gt;"",ISNUMBER(SEARCH("|"&amp;$C$12&amp;"|",'Base de dados'!$J$50))),AND($C$13&lt;&gt;"",ISNUMBER(SEARCH("|"&amp;$C$13&amp;"|",'Base de dados'!$J$50))),AND($C$14&lt;&gt;"",ISNUMBER(SEARCH("|"&amp;$C$14&amp;"|",'Base de dados'!$J$50))),AND($C$15&lt;&gt;"",ISNUMBER(SEARCH("|"&amp;$C$15&amp;"|",'Base de dados'!$J$50))),AND($C$16&lt;&gt;"",ISNUMBER(SEARCH("|"&amp;$C$16&amp;"|",'Base de dados'!$J$50))),AND($C$17&lt;&gt;"",ISNUMBER(SEARCH("|"&amp;$C$17&amp;"|",'Base de dados'!$J$50))),AND($C$18&lt;&gt;"",ISNUMBER(SEARCH("|"&amp;$C$18&amp;"|",'Base de dados'!$J$50))),AND($C$19&lt;&gt;"",ISNUMBER(SEARCH("|"&amp;$C$19&amp;"|",'Base de dados'!$J$50))),AND($C$20&lt;&gt;"",ISNUMBER(SEARCH("|"&amp;$C$20&amp;"|",'Base de dados'!$J$50)))),"46 - Telefonia Digital","")</f>
        <v/>
      </c>
      <c r="Q65" s="14" t="s">
        <v>180</v>
      </c>
    </row>
    <row r="66" spans="1:17" ht="14.25" customHeight="1">
      <c r="H66" s="21"/>
      <c r="O66" s="14">
        <v>47</v>
      </c>
      <c r="P66" s="14" t="str">
        <f>IF(OR(AND($C$6&lt;&gt;"",ISNUMBER(SEARCH("|"&amp;$C$6&amp;"|",'Base de dados'!$J$51))),AND($C$7&lt;&gt;"",ISNUMBER(SEARCH("|"&amp;$C$7&amp;"|",'Base de dados'!$J$51))),AND($C$8&lt;&gt;"",ISNUMBER(SEARCH("|"&amp;$C$8&amp;"|",'Base de dados'!$J$51))),AND($C$9&lt;&gt;"",ISNUMBER(SEARCH("|"&amp;$C$9&amp;"|",'Base de dados'!$J$51))),AND($C$10&lt;&gt;"",ISNUMBER(SEARCH("|"&amp;$C$10&amp;"|",'Base de dados'!$J$51))),AND($C$11&lt;&gt;"",ISNUMBER(SEARCH("|"&amp;$C$11&amp;"|",'Base de dados'!$J$51))),AND($C$12&lt;&gt;"",ISNUMBER(SEARCH("|"&amp;$C$12&amp;"|",'Base de dados'!$J$51))),AND($C$13&lt;&gt;"",ISNUMBER(SEARCH("|"&amp;$C$13&amp;"|",'Base de dados'!$J$51))),AND($C$14&lt;&gt;"",ISNUMBER(SEARCH("|"&amp;$C$14&amp;"|",'Base de dados'!$J$51))),AND($C$15&lt;&gt;"",ISNUMBER(SEARCH("|"&amp;$C$15&amp;"|",'Base de dados'!$J$51))),AND($C$16&lt;&gt;"",ISNUMBER(SEARCH("|"&amp;$C$16&amp;"|",'Base de dados'!$J$51))),AND($C$17&lt;&gt;"",ISNUMBER(SEARCH("|"&amp;$C$17&amp;"|",'Base de dados'!$J$51))),AND($C$18&lt;&gt;"",ISNUMBER(SEARCH("|"&amp;$C$18&amp;"|",'Base de dados'!$J$51))),AND($C$19&lt;&gt;"",ISNUMBER(SEARCH("|"&amp;$C$19&amp;"|",'Base de dados'!$J$51))),AND($C$20&lt;&gt;"",ISNUMBER(SEARCH("|"&amp;$C$20&amp;"|",'Base de dados'!$J$51)))),"47 - Redes de Comunicação","")</f>
        <v/>
      </c>
      <c r="Q66" s="14" t="s">
        <v>181</v>
      </c>
    </row>
    <row r="67" spans="1:17" ht="14.25" customHeight="1">
      <c r="H67" s="21"/>
      <c r="O67" s="14">
        <v>48</v>
      </c>
      <c r="P67" s="14" t="str">
        <f>IF(OR(AND($C$6&lt;&gt;"",ISNUMBER(SEARCH("|"&amp;$C$6&amp;"|",'Base de dados'!$J$52))),AND($C$7&lt;&gt;"",ISNUMBER(SEARCH("|"&amp;$C$7&amp;"|",'Base de dados'!$J$52))),AND($C$8&lt;&gt;"",ISNUMBER(SEARCH("|"&amp;$C$8&amp;"|",'Base de dados'!$J$52))),AND($C$9&lt;&gt;"",ISNUMBER(SEARCH("|"&amp;$C$9&amp;"|",'Base de dados'!$J$52))),AND($C$10&lt;&gt;"",ISNUMBER(SEARCH("|"&amp;$C$10&amp;"|",'Base de dados'!$J$52))),AND($C$11&lt;&gt;"",ISNUMBER(SEARCH("|"&amp;$C$11&amp;"|",'Base de dados'!$J$52))),AND($C$12&lt;&gt;"",ISNUMBER(SEARCH("|"&amp;$C$12&amp;"|",'Base de dados'!$J$52))),AND($C$13&lt;&gt;"",ISNUMBER(SEARCH("|"&amp;$C$13&amp;"|",'Base de dados'!$J$52))),AND($C$14&lt;&gt;"",ISNUMBER(SEARCH("|"&amp;$C$14&amp;"|",'Base de dados'!$J$52))),AND($C$15&lt;&gt;"",ISNUMBER(SEARCH("|"&amp;$C$15&amp;"|",'Base de dados'!$J$52))),AND($C$16&lt;&gt;"",ISNUMBER(SEARCH("|"&amp;$C$16&amp;"|",'Base de dados'!$J$52))),AND($C$17&lt;&gt;"",ISNUMBER(SEARCH("|"&amp;$C$17&amp;"|",'Base de dados'!$J$52))),AND($C$18&lt;&gt;"",ISNUMBER(SEARCH("|"&amp;$C$18&amp;"|",'Base de dados'!$J$52))),AND($C$19&lt;&gt;"",ISNUMBER(SEARCH("|"&amp;$C$19&amp;"|",'Base de dados'!$J$52))),AND($C$20&lt;&gt;"",ISNUMBER(SEARCH("|"&amp;$C$20&amp;"|",'Base de dados'!$J$52)))),"48 - Instalações Elétricas","")</f>
        <v/>
      </c>
      <c r="Q67" s="14" t="s">
        <v>182</v>
      </c>
    </row>
    <row r="68" spans="1:17" ht="14.25" customHeight="1">
      <c r="H68" s="21"/>
      <c r="O68" s="14">
        <v>49</v>
      </c>
      <c r="P68" s="14" t="str">
        <f>IF(OR(AND($C$6&lt;&gt;"",ISNUMBER(SEARCH("|"&amp;$C$6&amp;"|",'Base de dados'!$J$53))),AND($C$7&lt;&gt;"",ISNUMBER(SEARCH("|"&amp;$C$7&amp;"|",'Base de dados'!$J$53))),AND($C$8&lt;&gt;"",ISNUMBER(SEARCH("|"&amp;$C$8&amp;"|",'Base de dados'!$J$53))),AND($C$9&lt;&gt;"",ISNUMBER(SEARCH("|"&amp;$C$9&amp;"|",'Base de dados'!$J$53))),AND($C$10&lt;&gt;"",ISNUMBER(SEARCH("|"&amp;$C$10&amp;"|",'Base de dados'!$J$53))),AND($C$11&lt;&gt;"",ISNUMBER(SEARCH("|"&amp;$C$11&amp;"|",'Base de dados'!$J$53))),AND($C$12&lt;&gt;"",ISNUMBER(SEARCH("|"&amp;$C$12&amp;"|",'Base de dados'!$J$53))),AND($C$13&lt;&gt;"",ISNUMBER(SEARCH("|"&amp;$C$13&amp;"|",'Base de dados'!$J$53))),AND($C$14&lt;&gt;"",ISNUMBER(SEARCH("|"&amp;$C$14&amp;"|",'Base de dados'!$J$53))),AND($C$15&lt;&gt;"",ISNUMBER(SEARCH("|"&amp;$C$15&amp;"|",'Base de dados'!$J$53))),AND($C$16&lt;&gt;"",ISNUMBER(SEARCH("|"&amp;$C$16&amp;"|",'Base de dados'!$J$53))),AND($C$17&lt;&gt;"",ISNUMBER(SEARCH("|"&amp;$C$17&amp;"|",'Base de dados'!$J$53))),AND($C$18&lt;&gt;"",ISNUMBER(SEARCH("|"&amp;$C$18&amp;"|",'Base de dados'!$J$53))),AND($C$19&lt;&gt;"",ISNUMBER(SEARCH("|"&amp;$C$19&amp;"|",'Base de dados'!$J$53))),AND($C$20&lt;&gt;"",ISNUMBER(SEARCH("|"&amp;$C$20&amp;"|",'Base de dados'!$J$53)))),"49 - Antenas","")</f>
        <v/>
      </c>
      <c r="Q68" s="14" t="s">
        <v>183</v>
      </c>
    </row>
    <row r="69" spans="1:17" ht="14.25" customHeight="1">
      <c r="H69" s="21"/>
      <c r="O69" s="14">
        <v>50</v>
      </c>
      <c r="P69" s="14" t="str">
        <f>IF(OR(AND($C$6&lt;&gt;"",ISNUMBER(SEARCH("|"&amp;$C$6&amp;"|",'Base de dados'!$J$54))),AND($C$7&lt;&gt;"",ISNUMBER(SEARCH("|"&amp;$C$7&amp;"|",'Base de dados'!$J$54))),AND($C$8&lt;&gt;"",ISNUMBER(SEARCH("|"&amp;$C$8&amp;"|",'Base de dados'!$J$54))),AND($C$9&lt;&gt;"",ISNUMBER(SEARCH("|"&amp;$C$9&amp;"|",'Base de dados'!$J$54))),AND($C$10&lt;&gt;"",ISNUMBER(SEARCH("|"&amp;$C$10&amp;"|",'Base de dados'!$J$54))),AND($C$11&lt;&gt;"",ISNUMBER(SEARCH("|"&amp;$C$11&amp;"|",'Base de dados'!$J$54))),AND($C$12&lt;&gt;"",ISNUMBER(SEARCH("|"&amp;$C$12&amp;"|",'Base de dados'!$J$54))),AND($C$13&lt;&gt;"",ISNUMBER(SEARCH("|"&amp;$C$13&amp;"|",'Base de dados'!$J$54))),AND($C$14&lt;&gt;"",ISNUMBER(SEARCH("|"&amp;$C$14&amp;"|",'Base de dados'!$J$54))),AND($C$15&lt;&gt;"",ISNUMBER(SEARCH("|"&amp;$C$15&amp;"|",'Base de dados'!$J$54))),AND($C$16&lt;&gt;"",ISNUMBER(SEARCH("|"&amp;$C$16&amp;"|",'Base de dados'!$J$54))),AND($C$17&lt;&gt;"",ISNUMBER(SEARCH("|"&amp;$C$17&amp;"|",'Base de dados'!$J$54))),AND($C$18&lt;&gt;"",ISNUMBER(SEARCH("|"&amp;$C$18&amp;"|",'Base de dados'!$J$54))),AND($C$19&lt;&gt;"",ISNUMBER(SEARCH("|"&amp;$C$19&amp;"|",'Base de dados'!$J$54))),AND($C$20&lt;&gt;"",ISNUMBER(SEARCH("|"&amp;$C$20&amp;"|",'Base de dados'!$J$54)))),"50 - Sistemas de Radioenlace","")</f>
        <v/>
      </c>
      <c r="Q69" s="14" t="s">
        <v>184</v>
      </c>
    </row>
    <row r="70" spans="1:17" ht="14.25" customHeight="1">
      <c r="H70" s="21"/>
      <c r="O70" s="14">
        <v>51</v>
      </c>
      <c r="P70" s="14" t="str">
        <f>IF(OR(AND($C$6&lt;&gt;"",ISNUMBER(SEARCH("|"&amp;$C$6&amp;"|",'Base de dados'!$J$55))),AND($C$7&lt;&gt;"",ISNUMBER(SEARCH("|"&amp;$C$7&amp;"|",'Base de dados'!$J$55))),AND($C$8&lt;&gt;"",ISNUMBER(SEARCH("|"&amp;$C$8&amp;"|",'Base de dados'!$J$55))),AND($C$9&lt;&gt;"",ISNUMBER(SEARCH("|"&amp;$C$9&amp;"|",'Base de dados'!$J$55))),AND($C$10&lt;&gt;"",ISNUMBER(SEARCH("|"&amp;$C$10&amp;"|",'Base de dados'!$J$55))),AND($C$11&lt;&gt;"",ISNUMBER(SEARCH("|"&amp;$C$11&amp;"|",'Base de dados'!$J$55))),AND($C$12&lt;&gt;"",ISNUMBER(SEARCH("|"&amp;$C$12&amp;"|",'Base de dados'!$J$55))),AND($C$13&lt;&gt;"",ISNUMBER(SEARCH("|"&amp;$C$13&amp;"|",'Base de dados'!$J$55))),AND($C$14&lt;&gt;"",ISNUMBER(SEARCH("|"&amp;$C$14&amp;"|",'Base de dados'!$J$55))),AND($C$15&lt;&gt;"",ISNUMBER(SEARCH("|"&amp;$C$15&amp;"|",'Base de dados'!$J$55))),AND($C$16&lt;&gt;"",ISNUMBER(SEARCH("|"&amp;$C$16&amp;"|",'Base de dados'!$J$55))),AND($C$17&lt;&gt;"",ISNUMBER(SEARCH("|"&amp;$C$17&amp;"|",'Base de dados'!$J$55))),AND($C$18&lt;&gt;"",ISNUMBER(SEARCH("|"&amp;$C$18&amp;"|",'Base de dados'!$J$55))),AND($C$19&lt;&gt;"",ISNUMBER(SEARCH("|"&amp;$C$19&amp;"|",'Base de dados'!$J$55))),AND($C$20&lt;&gt;"",ISNUMBER(SEARCH("|"&amp;$C$20&amp;"|",'Base de dados'!$J$55)))),"51 - Comunicações Móveis","")</f>
        <v/>
      </c>
      <c r="Q70" s="14" t="s">
        <v>185</v>
      </c>
    </row>
    <row r="71" spans="1:17" ht="14.25" customHeight="1">
      <c r="H71" s="21"/>
      <c r="O71" s="14">
        <v>52</v>
      </c>
      <c r="P71" s="14" t="str">
        <f>IF(OR(AND($C$6&lt;&gt;"",ISNUMBER(SEARCH("|"&amp;$C$6&amp;"|",'Base de dados'!$J$56))),AND($C$7&lt;&gt;"",ISNUMBER(SEARCH("|"&amp;$C$7&amp;"|",'Base de dados'!$J$56))),AND($C$8&lt;&gt;"",ISNUMBER(SEARCH("|"&amp;$C$8&amp;"|",'Base de dados'!$J$56))),AND($C$9&lt;&gt;"",ISNUMBER(SEARCH("|"&amp;$C$9&amp;"|",'Base de dados'!$J$56))),AND($C$10&lt;&gt;"",ISNUMBER(SEARCH("|"&amp;$C$10&amp;"|",'Base de dados'!$J$56))),AND($C$11&lt;&gt;"",ISNUMBER(SEARCH("|"&amp;$C$11&amp;"|",'Base de dados'!$J$56))),AND($C$12&lt;&gt;"",ISNUMBER(SEARCH("|"&amp;$C$12&amp;"|",'Base de dados'!$J$56))),AND($C$13&lt;&gt;"",ISNUMBER(SEARCH("|"&amp;$C$13&amp;"|",'Base de dados'!$J$56))),AND($C$14&lt;&gt;"",ISNUMBER(SEARCH("|"&amp;$C$14&amp;"|",'Base de dados'!$J$56))),AND($C$15&lt;&gt;"",ISNUMBER(SEARCH("|"&amp;$C$15&amp;"|",'Base de dados'!$J$56))),AND($C$16&lt;&gt;"",ISNUMBER(SEARCH("|"&amp;$C$16&amp;"|",'Base de dados'!$J$56))),AND($C$17&lt;&gt;"",ISNUMBER(SEARCH("|"&amp;$C$17&amp;"|",'Base de dados'!$J$56))),AND($C$18&lt;&gt;"",ISNUMBER(SEARCH("|"&amp;$C$18&amp;"|",'Base de dados'!$J$56))),AND($C$19&lt;&gt;"",ISNUMBER(SEARCH("|"&amp;$C$19&amp;"|",'Base de dados'!$J$56))),AND($C$20&lt;&gt;"",ISNUMBER(SEARCH("|"&amp;$C$20&amp;"|",'Base de dados'!$J$56)))),"52 - Sistemas de Televisão","")</f>
        <v/>
      </c>
    </row>
    <row r="72" spans="1:17" ht="14.25" customHeight="1">
      <c r="H72" s="21"/>
      <c r="O72" s="14">
        <v>53</v>
      </c>
      <c r="P72" s="14" t="str">
        <f>IF(OR(AND($C$6&lt;&gt;"",ISNUMBER(SEARCH("|"&amp;$C$6&amp;"|",'Base de dados'!$J$57))),AND($C$7&lt;&gt;"",ISNUMBER(SEARCH("|"&amp;$C$7&amp;"|",'Base de dados'!$J$57))),AND($C$8&lt;&gt;"",ISNUMBER(SEARCH("|"&amp;$C$8&amp;"|",'Base de dados'!$J$57))),AND($C$9&lt;&gt;"",ISNUMBER(SEARCH("|"&amp;$C$9&amp;"|",'Base de dados'!$J$57))),AND($C$10&lt;&gt;"",ISNUMBER(SEARCH("|"&amp;$C$10&amp;"|",'Base de dados'!$J$57))),AND($C$11&lt;&gt;"",ISNUMBER(SEARCH("|"&amp;$C$11&amp;"|",'Base de dados'!$J$57))),AND($C$12&lt;&gt;"",ISNUMBER(SEARCH("|"&amp;$C$12&amp;"|",'Base de dados'!$J$57))),AND($C$13&lt;&gt;"",ISNUMBER(SEARCH("|"&amp;$C$13&amp;"|",'Base de dados'!$J$57))),AND($C$14&lt;&gt;"",ISNUMBER(SEARCH("|"&amp;$C$14&amp;"|",'Base de dados'!$J$57))),AND($C$15&lt;&gt;"",ISNUMBER(SEARCH("|"&amp;$C$15&amp;"|",'Base de dados'!$J$57))),AND($C$16&lt;&gt;"",ISNUMBER(SEARCH("|"&amp;$C$16&amp;"|",'Base de dados'!$J$57))),AND($C$17&lt;&gt;"",ISNUMBER(SEARCH("|"&amp;$C$17&amp;"|",'Base de dados'!$J$57))),AND($C$18&lt;&gt;"",ISNUMBER(SEARCH("|"&amp;$C$18&amp;"|",'Base de dados'!$J$57))),AND($C$19&lt;&gt;"",ISNUMBER(SEARCH("|"&amp;$C$19&amp;"|",'Base de dados'!$J$57))),AND($C$20&lt;&gt;"",ISNUMBER(SEARCH("|"&amp;$C$20&amp;"|",'Base de dados'!$J$57)))),"53 - Gerenciamento e Segurança de Redes","")</f>
        <v/>
      </c>
    </row>
    <row r="73" spans="1:17" ht="14.25" customHeight="1">
      <c r="H73" s="21"/>
      <c r="O73" s="14">
        <v>54</v>
      </c>
      <c r="P73" s="14" t="str">
        <f>IF(OR(AND($C$6&lt;&gt;"",ISNUMBER(SEARCH("|"&amp;$C$6&amp;"|",'Base de dados'!$J$58))),AND($C$7&lt;&gt;"",ISNUMBER(SEARCH("|"&amp;$C$7&amp;"|",'Base de dados'!$J$58))),AND($C$8&lt;&gt;"",ISNUMBER(SEARCH("|"&amp;$C$8&amp;"|",'Base de dados'!$J$58))),AND($C$9&lt;&gt;"",ISNUMBER(SEARCH("|"&amp;$C$9&amp;"|",'Base de dados'!$J$58))),AND($C$10&lt;&gt;"",ISNUMBER(SEARCH("|"&amp;$C$10&amp;"|",'Base de dados'!$J$58))),AND($C$11&lt;&gt;"",ISNUMBER(SEARCH("|"&amp;$C$11&amp;"|",'Base de dados'!$J$58))),AND($C$12&lt;&gt;"",ISNUMBER(SEARCH("|"&amp;$C$12&amp;"|",'Base de dados'!$J$58))),AND($C$13&lt;&gt;"",ISNUMBER(SEARCH("|"&amp;$C$13&amp;"|",'Base de dados'!$J$58))),AND($C$14&lt;&gt;"",ISNUMBER(SEARCH("|"&amp;$C$14&amp;"|",'Base de dados'!$J$58))),AND($C$15&lt;&gt;"",ISNUMBER(SEARCH("|"&amp;$C$15&amp;"|",'Base de dados'!$J$58))),AND($C$16&lt;&gt;"",ISNUMBER(SEARCH("|"&amp;$C$16&amp;"|",'Base de dados'!$J$58))),AND($C$17&lt;&gt;"",ISNUMBER(SEARCH("|"&amp;$C$17&amp;"|",'Base de dados'!$J$58))),AND($C$18&lt;&gt;"",ISNUMBER(SEARCH("|"&amp;$C$18&amp;"|",'Base de dados'!$J$58))),AND($C$19&lt;&gt;"",ISNUMBER(SEARCH("|"&amp;$C$19&amp;"|",'Base de dados'!$J$58))),AND($C$20&lt;&gt;"",ISNUMBER(SEARCH("|"&amp;$C$20&amp;"|",'Base de dados'!$J$58)))),"54 - Dispositivo de Micro-ondas","")</f>
        <v/>
      </c>
    </row>
    <row r="74" spans="1:17" ht="14.25" customHeight="1">
      <c r="H74" s="22"/>
      <c r="O74" s="14">
        <v>55</v>
      </c>
      <c r="P74" s="14" t="str">
        <f>IF(OR(AND($C$6&lt;&gt;"",ISNUMBER(SEARCH("|"&amp;$C$6&amp;"|",'Base de dados'!$J$59))),AND($C$7&lt;&gt;"",ISNUMBER(SEARCH("|"&amp;$C$7&amp;"|",'Base de dados'!$J$59))),AND($C$8&lt;&gt;"",ISNUMBER(SEARCH("|"&amp;$C$8&amp;"|",'Base de dados'!$J$59))),AND($C$9&lt;&gt;"",ISNUMBER(SEARCH("|"&amp;$C$9&amp;"|",'Base de dados'!$J$59))),AND($C$10&lt;&gt;"",ISNUMBER(SEARCH("|"&amp;$C$10&amp;"|",'Base de dados'!$J$59))),AND($C$11&lt;&gt;"",ISNUMBER(SEARCH("|"&amp;$C$11&amp;"|",'Base de dados'!$J$59))),AND($C$12&lt;&gt;"",ISNUMBER(SEARCH("|"&amp;$C$12&amp;"|",'Base de dados'!$J$59))),AND($C$13&lt;&gt;"",ISNUMBER(SEARCH("|"&amp;$C$13&amp;"|",'Base de dados'!$J$59))),AND($C$14&lt;&gt;"",ISNUMBER(SEARCH("|"&amp;$C$14&amp;"|",'Base de dados'!$J$59))),AND($C$15&lt;&gt;"",ISNUMBER(SEARCH("|"&amp;$C$15&amp;"|",'Base de dados'!$J$59))),AND($C$16&lt;&gt;"",ISNUMBER(SEARCH("|"&amp;$C$16&amp;"|",'Base de dados'!$J$59))),AND($C$17&lt;&gt;"",ISNUMBER(SEARCH("|"&amp;$C$17&amp;"|",'Base de dados'!$J$59))),AND($C$18&lt;&gt;"",ISNUMBER(SEARCH("|"&amp;$C$18&amp;"|",'Base de dados'!$J$59))),AND($C$19&lt;&gt;"",ISNUMBER(SEARCH("|"&amp;$C$19&amp;"|",'Base de dados'!$J$59))),AND($C$20&lt;&gt;"",ISNUMBER(SEARCH("|"&amp;$C$20&amp;"|",'Base de dados'!$J$59)))),"55 - Comunicações Ópticas","")</f>
        <v/>
      </c>
    </row>
    <row r="75" spans="1:17" ht="14.25" customHeight="1">
      <c r="O75" s="14">
        <v>56</v>
      </c>
      <c r="P75" s="14" t="str">
        <f>IF(OR(AND($C$6&lt;&gt;"",ISNUMBER(SEARCH("|"&amp;$C$6&amp;"|",'Base de dados'!$J$60))),AND($C$7&lt;&gt;"",ISNUMBER(SEARCH("|"&amp;$C$7&amp;"|",'Base de dados'!$J$60))),AND($C$8&lt;&gt;"",ISNUMBER(SEARCH("|"&amp;$C$8&amp;"|",'Base de dados'!$J$60))),AND($C$9&lt;&gt;"",ISNUMBER(SEARCH("|"&amp;$C$9&amp;"|",'Base de dados'!$J$60))),AND($C$10&lt;&gt;"",ISNUMBER(SEARCH("|"&amp;$C$10&amp;"|",'Base de dados'!$J$60))),AND($C$11&lt;&gt;"",ISNUMBER(SEARCH("|"&amp;$C$11&amp;"|",'Base de dados'!$J$60))),AND($C$12&lt;&gt;"",ISNUMBER(SEARCH("|"&amp;$C$12&amp;"|",'Base de dados'!$J$60))),AND($C$13&lt;&gt;"",ISNUMBER(SEARCH("|"&amp;$C$13&amp;"|",'Base de dados'!$J$60))),AND($C$14&lt;&gt;"",ISNUMBER(SEARCH("|"&amp;$C$14&amp;"|",'Base de dados'!$J$60))),AND($C$15&lt;&gt;"",ISNUMBER(SEARCH("|"&amp;$C$15&amp;"|",'Base de dados'!$J$60))),AND($C$16&lt;&gt;"",ISNUMBER(SEARCH("|"&amp;$C$16&amp;"|",'Base de dados'!$J$60))),AND($C$17&lt;&gt;"",ISNUMBER(SEARCH("|"&amp;$C$17&amp;"|",'Base de dados'!$J$60))),AND($C$18&lt;&gt;"",ISNUMBER(SEARCH("|"&amp;$C$18&amp;"|",'Base de dados'!$J$60))),AND($C$19&lt;&gt;"",ISNUMBER(SEARCH("|"&amp;$C$19&amp;"|",'Base de dados'!$J$60))),AND($C$20&lt;&gt;"",ISNUMBER(SEARCH("|"&amp;$C$20&amp;"|",'Base de dados'!$J$60)))),"56 - Projeto Final de Curso I","")</f>
        <v/>
      </c>
    </row>
    <row r="76" spans="1:17" ht="14.25" customHeight="1">
      <c r="O76" s="14">
        <v>57</v>
      </c>
      <c r="P76" s="14" t="str">
        <f>IF(OR(AND($C$6&lt;&gt;"",ISNUMBER(SEARCH("|"&amp;$C$6&amp;"|",'Base de dados'!$J$61))),AND($C$7&lt;&gt;"",ISNUMBER(SEARCH("|"&amp;$C$7&amp;"|",'Base de dados'!$J$61))),AND($C$8&lt;&gt;"",ISNUMBER(SEARCH("|"&amp;$C$8&amp;"|",'Base de dados'!$J$61))),AND($C$9&lt;&gt;"",ISNUMBER(SEARCH("|"&amp;$C$9&amp;"|",'Base de dados'!$J$61))),AND($C$10&lt;&gt;"",ISNUMBER(SEARCH("|"&amp;$C$10&amp;"|",'Base de dados'!$J$61))),AND($C$11&lt;&gt;"",ISNUMBER(SEARCH("|"&amp;$C$11&amp;"|",'Base de dados'!$J$61))),AND($C$12&lt;&gt;"",ISNUMBER(SEARCH("|"&amp;$C$12&amp;"|",'Base de dados'!$J$61))),AND($C$13&lt;&gt;"",ISNUMBER(SEARCH("|"&amp;$C$13&amp;"|",'Base de dados'!$J$61))),AND($C$14&lt;&gt;"",ISNUMBER(SEARCH("|"&amp;$C$14&amp;"|",'Base de dados'!$J$61))),AND($C$15&lt;&gt;"",ISNUMBER(SEARCH("|"&amp;$C$15&amp;"|",'Base de dados'!$J$61))),AND($C$16&lt;&gt;"",ISNUMBER(SEARCH("|"&amp;$C$16&amp;"|",'Base de dados'!$J$61))),AND($C$17&lt;&gt;"",ISNUMBER(SEARCH("|"&amp;$C$17&amp;"|",'Base de dados'!$J$61))),AND($C$18&lt;&gt;"",ISNUMBER(SEARCH("|"&amp;$C$18&amp;"|",'Base de dados'!$J$61))),AND($C$19&lt;&gt;"",ISNUMBER(SEARCH("|"&amp;$C$19&amp;"|",'Base de dados'!$J$61))),AND($C$20&lt;&gt;"",ISNUMBER(SEARCH("|"&amp;$C$20&amp;"|",'Base de dados'!$J$61)))),"57 - Ciências Sociais e Jurídicas","")</f>
        <v/>
      </c>
    </row>
    <row r="77" spans="1:17" ht="14.25" customHeight="1">
      <c r="A77" s="175" t="s">
        <v>186</v>
      </c>
      <c r="B77" s="161"/>
      <c r="C77" s="161"/>
      <c r="D77" s="161"/>
      <c r="E77" s="161"/>
      <c r="F77" s="161"/>
      <c r="O77" s="14">
        <v>58</v>
      </c>
      <c r="P77" s="14" t="str">
        <f>IF(OR(AND($C$6&lt;&gt;"",ISNUMBER(SEARCH("|"&amp;$C$6&amp;"|",'Base de dados'!$J$62))),AND($C$7&lt;&gt;"",ISNUMBER(SEARCH("|"&amp;$C$7&amp;"|",'Base de dados'!$J$62))),AND($C$8&lt;&gt;"",ISNUMBER(SEARCH("|"&amp;$C$8&amp;"|",'Base de dados'!$J$62))),AND($C$9&lt;&gt;"",ISNUMBER(SEARCH("|"&amp;$C$9&amp;"|",'Base de dados'!$J$62))),AND($C$10&lt;&gt;"",ISNUMBER(SEARCH("|"&amp;$C$10&amp;"|",'Base de dados'!$J$62))),AND($C$11&lt;&gt;"",ISNUMBER(SEARCH("|"&amp;$C$11&amp;"|",'Base de dados'!$J$62))),AND($C$12&lt;&gt;"",ISNUMBER(SEARCH("|"&amp;$C$12&amp;"|",'Base de dados'!$J$62))),AND($C$13&lt;&gt;"",ISNUMBER(SEARCH("|"&amp;$C$13&amp;"|",'Base de dados'!$J$62))),AND($C$14&lt;&gt;"",ISNUMBER(SEARCH("|"&amp;$C$14&amp;"|",'Base de dados'!$J$62))),AND($C$15&lt;&gt;"",ISNUMBER(SEARCH("|"&amp;$C$15&amp;"|",'Base de dados'!$J$62))),AND($C$16&lt;&gt;"",ISNUMBER(SEARCH("|"&amp;$C$16&amp;"|",'Base de dados'!$J$62))),AND($C$17&lt;&gt;"",ISNUMBER(SEARCH("|"&amp;$C$17&amp;"|",'Base de dados'!$J$62))),AND($C$18&lt;&gt;"",ISNUMBER(SEARCH("|"&amp;$C$18&amp;"|",'Base de dados'!$J$62))),AND($C$19&lt;&gt;"",ISNUMBER(SEARCH("|"&amp;$C$19&amp;"|",'Base de dados'!$J$62))),AND($C$20&lt;&gt;"",ISNUMBER(SEARCH("|"&amp;$C$20&amp;"|",'Base de dados'!$J$62)))),"58 - Administração e Gerenciamento de Projetos","")</f>
        <v/>
      </c>
    </row>
    <row r="78" spans="1:17" ht="14.25" customHeight="1">
      <c r="A78" s="23" t="s">
        <v>187</v>
      </c>
      <c r="B78" s="23" t="s">
        <v>188</v>
      </c>
      <c r="C78" s="23" t="s">
        <v>189</v>
      </c>
      <c r="D78" s="23" t="s">
        <v>190</v>
      </c>
      <c r="E78" s="23" t="s">
        <v>191</v>
      </c>
      <c r="F78" s="23" t="s">
        <v>192</v>
      </c>
      <c r="O78" s="14">
        <v>59</v>
      </c>
      <c r="P78" s="14" t="str">
        <f>IF(OR(AND($C$6&lt;&gt;"",ISNUMBER(SEARCH("|"&amp;$C$6&amp;"|",'Base de dados'!$J$63))),AND($C$7&lt;&gt;"",ISNUMBER(SEARCH("|"&amp;$C$7&amp;"|",'Base de dados'!$J$63))),AND($C$8&lt;&gt;"",ISNUMBER(SEARCH("|"&amp;$C$8&amp;"|",'Base de dados'!$J$63))),AND($C$9&lt;&gt;"",ISNUMBER(SEARCH("|"&amp;$C$9&amp;"|",'Base de dados'!$J$63))),AND($C$10&lt;&gt;"",ISNUMBER(SEARCH("|"&amp;$C$10&amp;"|",'Base de dados'!$J$63))),AND($C$11&lt;&gt;"",ISNUMBER(SEARCH("|"&amp;$C$11&amp;"|",'Base de dados'!$J$63))),AND($C$12&lt;&gt;"",ISNUMBER(SEARCH("|"&amp;$C$12&amp;"|",'Base de dados'!$J$63))),AND($C$13&lt;&gt;"",ISNUMBER(SEARCH("|"&amp;$C$13&amp;"|",'Base de dados'!$J$63))),AND($C$14&lt;&gt;"",ISNUMBER(SEARCH("|"&amp;$C$14&amp;"|",'Base de dados'!$J$63))),AND($C$15&lt;&gt;"",ISNUMBER(SEARCH("|"&amp;$C$15&amp;"|",'Base de dados'!$J$63))),AND($C$16&lt;&gt;"",ISNUMBER(SEARCH("|"&amp;$C$16&amp;"|",'Base de dados'!$J$63))),AND($C$17&lt;&gt;"",ISNUMBER(SEARCH("|"&amp;$C$17&amp;"|",'Base de dados'!$J$63))),AND($C$18&lt;&gt;"",ISNUMBER(SEARCH("|"&amp;$C$18&amp;"|",'Base de dados'!$J$63))),AND($C$19&lt;&gt;"",ISNUMBER(SEARCH("|"&amp;$C$19&amp;"|",'Base de dados'!$J$63))),AND($C$20&lt;&gt;"",ISNUMBER(SEARCH("|"&amp;$C$20&amp;"|",'Base de dados'!$J$63)))),"59 - Engenharia Ambiental","")</f>
        <v/>
      </c>
    </row>
    <row r="79" spans="1:17" ht="132" customHeight="1">
      <c r="A79" s="24" t="str">
        <f t="shared" ref="A79:A93" si="1">IF($B6="","",$B6)</f>
        <v/>
      </c>
      <c r="B79" s="24" t="str">
        <f t="array" ref="B79">IFERROR(INDEX('Base de dados'!$D$5:$D$73,MATCH($C6,'Base de dados'!$A$5:$A$73,0)),"")</f>
        <v/>
      </c>
      <c r="C79" s="24" t="str">
        <f t="array" ref="C79">IFERROR(INDEX('Base de dados'!$E$5:$E$73,MATCH($C6,'Base de dados'!$A$5:$A$73,0)),"")</f>
        <v/>
      </c>
      <c r="D79" s="24" t="str">
        <f t="array" ref="D79">IFERROR(INDEX('Base de dados'!$G$5:$G$73,MATCH($C6,'Base de dados'!$A$5:$A$73,0)),"")</f>
        <v/>
      </c>
      <c r="E79" s="24" t="str">
        <f t="array" ref="E79">IFERROR(INDEX('Base de dados'!$H$5:$H$73,MATCH($C6,'Base de dados'!$A$5:$A$73,0)),"")</f>
        <v/>
      </c>
      <c r="F79" s="24" t="str">
        <f t="shared" ref="F79:F93" si="2">IF($B6="","",IF(AND(B79="",C79="",E79=""),"Sem exigência registrada no arquivo-fonte","Confira também a situação acadêmica e a oferta no sistema"))</f>
        <v/>
      </c>
      <c r="O79" s="14">
        <v>60</v>
      </c>
      <c r="P79" s="14" t="str">
        <f>IF(OR(AND($C$6&lt;&gt;"",ISNUMBER(SEARCH("|"&amp;$C$6&amp;"|",'Base de dados'!$J$64))),AND($C$7&lt;&gt;"",ISNUMBER(SEARCH("|"&amp;$C$7&amp;"|",'Base de dados'!$J$64))),AND($C$8&lt;&gt;"",ISNUMBER(SEARCH("|"&amp;$C$8&amp;"|",'Base de dados'!$J$64))),AND($C$9&lt;&gt;"",ISNUMBER(SEARCH("|"&amp;$C$9&amp;"|",'Base de dados'!$J$64))),AND($C$10&lt;&gt;"",ISNUMBER(SEARCH("|"&amp;$C$10&amp;"|",'Base de dados'!$J$64))),AND($C$11&lt;&gt;"",ISNUMBER(SEARCH("|"&amp;$C$11&amp;"|",'Base de dados'!$J$64))),AND($C$12&lt;&gt;"",ISNUMBER(SEARCH("|"&amp;$C$12&amp;"|",'Base de dados'!$J$64))),AND($C$13&lt;&gt;"",ISNUMBER(SEARCH("|"&amp;$C$13&amp;"|",'Base de dados'!$J$64))),AND($C$14&lt;&gt;"",ISNUMBER(SEARCH("|"&amp;$C$14&amp;"|",'Base de dados'!$J$64))),AND($C$15&lt;&gt;"",ISNUMBER(SEARCH("|"&amp;$C$15&amp;"|",'Base de dados'!$J$64))),AND($C$16&lt;&gt;"",ISNUMBER(SEARCH("|"&amp;$C$16&amp;"|",'Base de dados'!$J$64))),AND($C$17&lt;&gt;"",ISNUMBER(SEARCH("|"&amp;$C$17&amp;"|",'Base de dados'!$J$64))),AND($C$18&lt;&gt;"",ISNUMBER(SEARCH("|"&amp;$C$18&amp;"|",'Base de dados'!$J$64))),AND($C$19&lt;&gt;"",ISNUMBER(SEARCH("|"&amp;$C$19&amp;"|",'Base de dados'!$J$64))),AND($C$20&lt;&gt;"",ISNUMBER(SEARCH("|"&amp;$C$20&amp;"|",'Base de dados'!$J$64)))),"60 - Economia","")</f>
        <v/>
      </c>
    </row>
    <row r="80" spans="1:17" ht="132" customHeight="1">
      <c r="A80" s="24" t="str">
        <f t="shared" si="1"/>
        <v/>
      </c>
      <c r="B80" s="24" t="str">
        <f t="array" ref="B80">IFERROR(INDEX('Base de dados'!$D$5:$D$73,MATCH($C7,'Base de dados'!$A$5:$A$73,0)),"")</f>
        <v/>
      </c>
      <c r="C80" s="24" t="str">
        <f t="array" ref="C80">IFERROR(INDEX('Base de dados'!$E$5:$E$73,MATCH($C7,'Base de dados'!$A$5:$A$73,0)),"")</f>
        <v/>
      </c>
      <c r="D80" s="24" t="str">
        <f t="array" ref="D80">IFERROR(INDEX('Base de dados'!$G$5:$G$73,MATCH($C7,'Base de dados'!$A$5:$A$73,0)),"")</f>
        <v/>
      </c>
      <c r="E80" s="24" t="str">
        <f t="array" ref="E80">IFERROR(INDEX('Base de dados'!$H$5:$H$73,MATCH($C7,'Base de dados'!$A$5:$A$73,0)),"")</f>
        <v/>
      </c>
      <c r="F80" s="24" t="str">
        <f t="shared" si="2"/>
        <v/>
      </c>
      <c r="O80" s="14">
        <v>61</v>
      </c>
      <c r="P80" s="14" t="str">
        <f>IF(OR(AND($C$6&lt;&gt;"",ISNUMBER(SEARCH("|"&amp;$C$6&amp;"|",'Base de dados'!$J$65))),AND($C$7&lt;&gt;"",ISNUMBER(SEARCH("|"&amp;$C$7&amp;"|",'Base de dados'!$J$65))),AND($C$8&lt;&gt;"",ISNUMBER(SEARCH("|"&amp;$C$8&amp;"|",'Base de dados'!$J$65))),AND($C$9&lt;&gt;"",ISNUMBER(SEARCH("|"&amp;$C$9&amp;"|",'Base de dados'!$J$65))),AND($C$10&lt;&gt;"",ISNUMBER(SEARCH("|"&amp;$C$10&amp;"|",'Base de dados'!$J$65))),AND($C$11&lt;&gt;"",ISNUMBER(SEARCH("|"&amp;$C$11&amp;"|",'Base de dados'!$J$65))),AND($C$12&lt;&gt;"",ISNUMBER(SEARCH("|"&amp;$C$12&amp;"|",'Base de dados'!$J$65))),AND($C$13&lt;&gt;"",ISNUMBER(SEARCH("|"&amp;$C$13&amp;"|",'Base de dados'!$J$65))),AND($C$14&lt;&gt;"",ISNUMBER(SEARCH("|"&amp;$C$14&amp;"|",'Base de dados'!$J$65))),AND($C$15&lt;&gt;"",ISNUMBER(SEARCH("|"&amp;$C$15&amp;"|",'Base de dados'!$J$65))),AND($C$16&lt;&gt;"",ISNUMBER(SEARCH("|"&amp;$C$16&amp;"|",'Base de dados'!$J$65))),AND($C$17&lt;&gt;"",ISNUMBER(SEARCH("|"&amp;$C$17&amp;"|",'Base de dados'!$J$65))),AND($C$18&lt;&gt;"",ISNUMBER(SEARCH("|"&amp;$C$18&amp;"|",'Base de dados'!$J$65))),AND($C$19&lt;&gt;"",ISNUMBER(SEARCH("|"&amp;$C$19&amp;"|",'Base de dados'!$J$65))),AND($C$20&lt;&gt;"",ISNUMBER(SEARCH("|"&amp;$C$20&amp;"|",'Base de dados'!$J$65)))),"61 - Optativa - Eixo Comum","")</f>
        <v/>
      </c>
    </row>
    <row r="81" spans="1:16" ht="132" customHeight="1">
      <c r="A81" s="24" t="str">
        <f t="shared" si="1"/>
        <v/>
      </c>
      <c r="B81" s="24" t="str">
        <f t="array" ref="B81">IFERROR(INDEX('Base de dados'!$D$5:$D$73,MATCH($C8,'Base de dados'!$A$5:$A$73,0)),"")</f>
        <v/>
      </c>
      <c r="C81" s="24" t="str">
        <f t="array" ref="C81">IFERROR(INDEX('Base de dados'!$E$5:$E$73,MATCH($C8,'Base de dados'!$A$5:$A$73,0)),"")</f>
        <v/>
      </c>
      <c r="D81" s="24" t="str">
        <f t="array" ref="D81">IFERROR(INDEX('Base de dados'!$G$5:$G$73,MATCH($C8,'Base de dados'!$A$5:$A$73,0)),"")</f>
        <v/>
      </c>
      <c r="E81" s="24" t="str">
        <f t="array" ref="E81">IFERROR(INDEX('Base de dados'!$H$5:$H$73,MATCH($C8,'Base de dados'!$A$5:$A$73,0)),"")</f>
        <v/>
      </c>
      <c r="F81" s="24" t="str">
        <f t="shared" si="2"/>
        <v/>
      </c>
      <c r="O81" s="14">
        <v>62</v>
      </c>
      <c r="P81" s="14" t="str">
        <f>IF(OR(AND($C$6&lt;&gt;"",ISNUMBER(SEARCH("|"&amp;$C$6&amp;"|",'Base de dados'!$J$66))),AND($C$7&lt;&gt;"",ISNUMBER(SEARCH("|"&amp;$C$7&amp;"|",'Base de dados'!$J$66))),AND($C$8&lt;&gt;"",ISNUMBER(SEARCH("|"&amp;$C$8&amp;"|",'Base de dados'!$J$66))),AND($C$9&lt;&gt;"",ISNUMBER(SEARCH("|"&amp;$C$9&amp;"|",'Base de dados'!$J$66))),AND($C$10&lt;&gt;"",ISNUMBER(SEARCH("|"&amp;$C$10&amp;"|",'Base de dados'!$J$66))),AND($C$11&lt;&gt;"",ISNUMBER(SEARCH("|"&amp;$C$11&amp;"|",'Base de dados'!$J$66))),AND($C$12&lt;&gt;"",ISNUMBER(SEARCH("|"&amp;$C$12&amp;"|",'Base de dados'!$J$66))),AND($C$13&lt;&gt;"",ISNUMBER(SEARCH("|"&amp;$C$13&amp;"|",'Base de dados'!$J$66))),AND($C$14&lt;&gt;"",ISNUMBER(SEARCH("|"&amp;$C$14&amp;"|",'Base de dados'!$J$66))),AND($C$15&lt;&gt;"",ISNUMBER(SEARCH("|"&amp;$C$15&amp;"|",'Base de dados'!$J$66))),AND($C$16&lt;&gt;"",ISNUMBER(SEARCH("|"&amp;$C$16&amp;"|",'Base de dados'!$J$66))),AND($C$17&lt;&gt;"",ISNUMBER(SEARCH("|"&amp;$C$17&amp;"|",'Base de dados'!$J$66))),AND($C$18&lt;&gt;"",ISNUMBER(SEARCH("|"&amp;$C$18&amp;"|",'Base de dados'!$J$66))),AND($C$19&lt;&gt;"",ISNUMBER(SEARCH("|"&amp;$C$19&amp;"|",'Base de dados'!$J$66))),AND($C$20&lt;&gt;"",ISNUMBER(SEARCH("|"&amp;$C$20&amp;"|",'Base de dados'!$J$66)))),"62 - Projeto Final de Curso II","")</f>
        <v/>
      </c>
    </row>
    <row r="82" spans="1:16" ht="132" customHeight="1">
      <c r="A82" s="24" t="str">
        <f t="shared" si="1"/>
        <v/>
      </c>
      <c r="B82" s="24" t="str">
        <f t="array" ref="B82">IFERROR(INDEX('Base de dados'!$D$5:$D$73,MATCH($C9,'Base de dados'!$A$5:$A$73,0)),"")</f>
        <v/>
      </c>
      <c r="C82" s="24" t="str">
        <f t="array" ref="C82">IFERROR(INDEX('Base de dados'!$E$5:$E$73,MATCH($C9,'Base de dados'!$A$5:$A$73,0)),"")</f>
        <v/>
      </c>
      <c r="D82" s="24" t="str">
        <f t="array" ref="D82">IFERROR(INDEX('Base de dados'!$G$5:$G$73,MATCH($C9,'Base de dados'!$A$5:$A$73,0)),"")</f>
        <v/>
      </c>
      <c r="E82" s="24" t="str">
        <f t="array" ref="E82">IFERROR(INDEX('Base de dados'!$H$5:$H$73,MATCH($C9,'Base de dados'!$A$5:$A$73,0)),"")</f>
        <v/>
      </c>
      <c r="F82" s="24" t="str">
        <f t="shared" si="2"/>
        <v/>
      </c>
      <c r="O82" s="14">
        <v>63</v>
      </c>
      <c r="P82" s="14" t="str">
        <f>IF(OR(AND($C$6&lt;&gt;"",ISNUMBER(SEARCH("|"&amp;$C$6&amp;"|",'Base de dados'!$J$67))),AND($C$7&lt;&gt;"",ISNUMBER(SEARCH("|"&amp;$C$7&amp;"|",'Base de dados'!$J$67))),AND($C$8&lt;&gt;"",ISNUMBER(SEARCH("|"&amp;$C$8&amp;"|",'Base de dados'!$J$67))),AND($C$9&lt;&gt;"",ISNUMBER(SEARCH("|"&amp;$C$9&amp;"|",'Base de dados'!$J$67))),AND($C$10&lt;&gt;"",ISNUMBER(SEARCH("|"&amp;$C$10&amp;"|",'Base de dados'!$J$67))),AND($C$11&lt;&gt;"",ISNUMBER(SEARCH("|"&amp;$C$11&amp;"|",'Base de dados'!$J$67))),AND($C$12&lt;&gt;"",ISNUMBER(SEARCH("|"&amp;$C$12&amp;"|",'Base de dados'!$J$67))),AND($C$13&lt;&gt;"",ISNUMBER(SEARCH("|"&amp;$C$13&amp;"|",'Base de dados'!$J$67))),AND($C$14&lt;&gt;"",ISNUMBER(SEARCH("|"&amp;$C$14&amp;"|",'Base de dados'!$J$67))),AND($C$15&lt;&gt;"",ISNUMBER(SEARCH("|"&amp;$C$15&amp;"|",'Base de dados'!$J$67))),AND($C$16&lt;&gt;"",ISNUMBER(SEARCH("|"&amp;$C$16&amp;"|",'Base de dados'!$J$67))),AND($C$17&lt;&gt;"",ISNUMBER(SEARCH("|"&amp;$C$17&amp;"|",'Base de dados'!$J$67))),AND($C$18&lt;&gt;"",ISNUMBER(SEARCH("|"&amp;$C$18&amp;"|",'Base de dados'!$J$67))),AND($C$19&lt;&gt;"",ISNUMBER(SEARCH("|"&amp;$C$19&amp;"|",'Base de dados'!$J$67))),AND($C$20&lt;&gt;"",ISNUMBER(SEARCH("|"&amp;$C$20&amp;"|",'Base de dados'!$J$67)))),"63 - Estágio Supervisionado","")</f>
        <v/>
      </c>
    </row>
    <row r="83" spans="1:16" ht="132" customHeight="1">
      <c r="A83" s="24" t="str">
        <f t="shared" si="1"/>
        <v/>
      </c>
      <c r="B83" s="24" t="str">
        <f t="array" ref="B83">IFERROR(INDEX('Base de dados'!$D$5:$D$73,MATCH($C10,'Base de dados'!$A$5:$A$73,0)),"")</f>
        <v/>
      </c>
      <c r="C83" s="24" t="str">
        <f t="array" ref="C83">IFERROR(INDEX('Base de dados'!$E$5:$E$73,MATCH($C10,'Base de dados'!$A$5:$A$73,0)),"")</f>
        <v/>
      </c>
      <c r="D83" s="24" t="str">
        <f t="array" ref="D83">IFERROR(INDEX('Base de dados'!$G$5:$G$73,MATCH($C10,'Base de dados'!$A$5:$A$73,0)),"")</f>
        <v/>
      </c>
      <c r="E83" s="24" t="str">
        <f t="array" ref="E83">IFERROR(INDEX('Base de dados'!$H$5:$H$73,MATCH($C10,'Base de dados'!$A$5:$A$73,0)),"")</f>
        <v/>
      </c>
      <c r="F83" s="24" t="str">
        <f t="shared" si="2"/>
        <v/>
      </c>
      <c r="O83" s="14">
        <v>64</v>
      </c>
      <c r="P83" s="14" t="str">
        <f>IF(OR(AND($C$6&lt;&gt;"",ISNUMBER(SEARCH("|"&amp;$C$6&amp;"|",'Base de dados'!$J$68))),AND($C$7&lt;&gt;"",ISNUMBER(SEARCH("|"&amp;$C$7&amp;"|",'Base de dados'!$J$68))),AND($C$8&lt;&gt;"",ISNUMBER(SEARCH("|"&amp;$C$8&amp;"|",'Base de dados'!$J$68))),AND($C$9&lt;&gt;"",ISNUMBER(SEARCH("|"&amp;$C$9&amp;"|",'Base de dados'!$J$68))),AND($C$10&lt;&gt;"",ISNUMBER(SEARCH("|"&amp;$C$10&amp;"|",'Base de dados'!$J$68))),AND($C$11&lt;&gt;"",ISNUMBER(SEARCH("|"&amp;$C$11&amp;"|",'Base de dados'!$J$68))),AND($C$12&lt;&gt;"",ISNUMBER(SEARCH("|"&amp;$C$12&amp;"|",'Base de dados'!$J$68))),AND($C$13&lt;&gt;"",ISNUMBER(SEARCH("|"&amp;$C$13&amp;"|",'Base de dados'!$J$68))),AND($C$14&lt;&gt;"",ISNUMBER(SEARCH("|"&amp;$C$14&amp;"|",'Base de dados'!$J$68))),AND($C$15&lt;&gt;"",ISNUMBER(SEARCH("|"&amp;$C$15&amp;"|",'Base de dados'!$J$68))),AND($C$16&lt;&gt;"",ISNUMBER(SEARCH("|"&amp;$C$16&amp;"|",'Base de dados'!$J$68))),AND($C$17&lt;&gt;"",ISNUMBER(SEARCH("|"&amp;$C$17&amp;"|",'Base de dados'!$J$68))),AND($C$18&lt;&gt;"",ISNUMBER(SEARCH("|"&amp;$C$18&amp;"|",'Base de dados'!$J$68))),AND($C$19&lt;&gt;"",ISNUMBER(SEARCH("|"&amp;$C$19&amp;"|",'Base de dados'!$J$68))),AND($C$20&lt;&gt;"",ISNUMBER(SEARCH("|"&amp;$C$20&amp;"|",'Base de dados'!$J$68)))),"64 - Atividades Curriculares de Extensão I","")</f>
        <v/>
      </c>
    </row>
    <row r="84" spans="1:16" ht="132" customHeight="1">
      <c r="A84" s="24" t="str">
        <f t="shared" si="1"/>
        <v/>
      </c>
      <c r="B84" s="24" t="str">
        <f t="array" ref="B84">IFERROR(INDEX('Base de dados'!$D$5:$D$73,MATCH($C11,'Base de dados'!$A$5:$A$73,0)),"")</f>
        <v/>
      </c>
      <c r="C84" s="24" t="str">
        <f t="array" ref="C84">IFERROR(INDEX('Base de dados'!$E$5:$E$73,MATCH($C11,'Base de dados'!$A$5:$A$73,0)),"")</f>
        <v/>
      </c>
      <c r="D84" s="24" t="str">
        <f t="array" ref="D84">IFERROR(INDEX('Base de dados'!$G$5:$G$73,MATCH($C11,'Base de dados'!$A$5:$A$73,0)),"")</f>
        <v/>
      </c>
      <c r="E84" s="24" t="str">
        <f t="array" ref="E84">IFERROR(INDEX('Base de dados'!$H$5:$H$73,MATCH($C11,'Base de dados'!$A$5:$A$73,0)),"")</f>
        <v/>
      </c>
      <c r="F84" s="24" t="str">
        <f t="shared" si="2"/>
        <v/>
      </c>
      <c r="O84" s="14">
        <v>65</v>
      </c>
      <c r="P84" s="14" t="str">
        <f>IF(OR(AND($C$6&lt;&gt;"",ISNUMBER(SEARCH("|"&amp;$C$6&amp;"|",'Base de dados'!$J$69))),AND($C$7&lt;&gt;"",ISNUMBER(SEARCH("|"&amp;$C$7&amp;"|",'Base de dados'!$J$69))),AND($C$8&lt;&gt;"",ISNUMBER(SEARCH("|"&amp;$C$8&amp;"|",'Base de dados'!$J$69))),AND($C$9&lt;&gt;"",ISNUMBER(SEARCH("|"&amp;$C$9&amp;"|",'Base de dados'!$J$69))),AND($C$10&lt;&gt;"",ISNUMBER(SEARCH("|"&amp;$C$10&amp;"|",'Base de dados'!$J$69))),AND($C$11&lt;&gt;"",ISNUMBER(SEARCH("|"&amp;$C$11&amp;"|",'Base de dados'!$J$69))),AND($C$12&lt;&gt;"",ISNUMBER(SEARCH("|"&amp;$C$12&amp;"|",'Base de dados'!$J$69))),AND($C$13&lt;&gt;"",ISNUMBER(SEARCH("|"&amp;$C$13&amp;"|",'Base de dados'!$J$69))),AND($C$14&lt;&gt;"",ISNUMBER(SEARCH("|"&amp;$C$14&amp;"|",'Base de dados'!$J$69))),AND($C$15&lt;&gt;"",ISNUMBER(SEARCH("|"&amp;$C$15&amp;"|",'Base de dados'!$J$69))),AND($C$16&lt;&gt;"",ISNUMBER(SEARCH("|"&amp;$C$16&amp;"|",'Base de dados'!$J$69))),AND($C$17&lt;&gt;"",ISNUMBER(SEARCH("|"&amp;$C$17&amp;"|",'Base de dados'!$J$69))),AND($C$18&lt;&gt;"",ISNUMBER(SEARCH("|"&amp;$C$18&amp;"|",'Base de dados'!$J$69))),AND($C$19&lt;&gt;"",ISNUMBER(SEARCH("|"&amp;$C$19&amp;"|",'Base de dados'!$J$69))),AND($C$20&lt;&gt;"",ISNUMBER(SEARCH("|"&amp;$C$20&amp;"|",'Base de dados'!$J$69)))),"65 - Atividades Curriculares de Extensão II","")</f>
        <v/>
      </c>
    </row>
    <row r="85" spans="1:16" ht="132" customHeight="1">
      <c r="A85" s="24" t="str">
        <f t="shared" si="1"/>
        <v/>
      </c>
      <c r="B85" s="24" t="str">
        <f t="array" ref="B85">IFERROR(INDEX('Base de dados'!$D$5:$D$73,MATCH($C12,'Base de dados'!$A$5:$A$73,0)),"")</f>
        <v/>
      </c>
      <c r="C85" s="24" t="str">
        <f t="array" ref="C85">IFERROR(INDEX('Base de dados'!$E$5:$E$73,MATCH($C12,'Base de dados'!$A$5:$A$73,0)),"")</f>
        <v/>
      </c>
      <c r="D85" s="24" t="str">
        <f t="array" ref="D85">IFERROR(INDEX('Base de dados'!$G$5:$G$73,MATCH($C12,'Base de dados'!$A$5:$A$73,0)),"")</f>
        <v/>
      </c>
      <c r="E85" s="24" t="str">
        <f t="array" ref="E85">IFERROR(INDEX('Base de dados'!$H$5:$H$73,MATCH($C12,'Base de dados'!$A$5:$A$73,0)),"")</f>
        <v/>
      </c>
      <c r="F85" s="24" t="str">
        <f t="shared" si="2"/>
        <v/>
      </c>
      <c r="O85" s="14">
        <v>66</v>
      </c>
      <c r="P85" s="14" t="str">
        <f>IF(OR(AND($C$6&lt;&gt;"",ISNUMBER(SEARCH("|"&amp;$C$6&amp;"|",'Base de dados'!$J$70))),AND($C$7&lt;&gt;"",ISNUMBER(SEARCH("|"&amp;$C$7&amp;"|",'Base de dados'!$J$70))),AND($C$8&lt;&gt;"",ISNUMBER(SEARCH("|"&amp;$C$8&amp;"|",'Base de dados'!$J$70))),AND($C$9&lt;&gt;"",ISNUMBER(SEARCH("|"&amp;$C$9&amp;"|",'Base de dados'!$J$70))),AND($C$10&lt;&gt;"",ISNUMBER(SEARCH("|"&amp;$C$10&amp;"|",'Base de dados'!$J$70))),AND($C$11&lt;&gt;"",ISNUMBER(SEARCH("|"&amp;$C$11&amp;"|",'Base de dados'!$J$70))),AND($C$12&lt;&gt;"",ISNUMBER(SEARCH("|"&amp;$C$12&amp;"|",'Base de dados'!$J$70))),AND($C$13&lt;&gt;"",ISNUMBER(SEARCH("|"&amp;$C$13&amp;"|",'Base de dados'!$J$70))),AND($C$14&lt;&gt;"",ISNUMBER(SEARCH("|"&amp;$C$14&amp;"|",'Base de dados'!$J$70))),AND($C$15&lt;&gt;"",ISNUMBER(SEARCH("|"&amp;$C$15&amp;"|",'Base de dados'!$J$70))),AND($C$16&lt;&gt;"",ISNUMBER(SEARCH("|"&amp;$C$16&amp;"|",'Base de dados'!$J$70))),AND($C$17&lt;&gt;"",ISNUMBER(SEARCH("|"&amp;$C$17&amp;"|",'Base de dados'!$J$70))),AND($C$18&lt;&gt;"",ISNUMBER(SEARCH("|"&amp;$C$18&amp;"|",'Base de dados'!$J$70))),AND($C$19&lt;&gt;"",ISNUMBER(SEARCH("|"&amp;$C$19&amp;"|",'Base de dados'!$J$70))),AND($C$20&lt;&gt;"",ISNUMBER(SEARCH("|"&amp;$C$20&amp;"|",'Base de dados'!$J$70)))),"66 - Atividades Curriculares de Extensão III","")</f>
        <v/>
      </c>
    </row>
    <row r="86" spans="1:16" ht="132" customHeight="1">
      <c r="A86" s="24" t="str">
        <f t="shared" si="1"/>
        <v/>
      </c>
      <c r="B86" s="24" t="str">
        <f t="array" ref="B86">IFERROR(INDEX('Base de dados'!$D$5:$D$73,MATCH($C13,'Base de dados'!$A$5:$A$73,0)),"")</f>
        <v/>
      </c>
      <c r="C86" s="24" t="str">
        <f t="array" ref="C86">IFERROR(INDEX('Base de dados'!$E$5:$E$73,MATCH($C13,'Base de dados'!$A$5:$A$73,0)),"")</f>
        <v/>
      </c>
      <c r="D86" s="24" t="str">
        <f t="array" ref="D86">IFERROR(INDEX('Base de dados'!$G$5:$G$73,MATCH($C13,'Base de dados'!$A$5:$A$73,0)),"")</f>
        <v/>
      </c>
      <c r="E86" s="24" t="str">
        <f t="array" ref="E86">IFERROR(INDEX('Base de dados'!$H$5:$H$73,MATCH($C13,'Base de dados'!$A$5:$A$73,0)),"")</f>
        <v/>
      </c>
      <c r="F86" s="24" t="str">
        <f t="shared" si="2"/>
        <v/>
      </c>
      <c r="O86" s="14">
        <v>67</v>
      </c>
      <c r="P86" s="14" t="str">
        <f>IF(OR(AND($C$6&lt;&gt;"",ISNUMBER(SEARCH("|"&amp;$C$6&amp;"|",'Base de dados'!$J$71))),AND($C$7&lt;&gt;"",ISNUMBER(SEARCH("|"&amp;$C$7&amp;"|",'Base de dados'!$J$71))),AND($C$8&lt;&gt;"",ISNUMBER(SEARCH("|"&amp;$C$8&amp;"|",'Base de dados'!$J$71))),AND($C$9&lt;&gt;"",ISNUMBER(SEARCH("|"&amp;$C$9&amp;"|",'Base de dados'!$J$71))),AND($C$10&lt;&gt;"",ISNUMBER(SEARCH("|"&amp;$C$10&amp;"|",'Base de dados'!$J$71))),AND($C$11&lt;&gt;"",ISNUMBER(SEARCH("|"&amp;$C$11&amp;"|",'Base de dados'!$J$71))),AND($C$12&lt;&gt;"",ISNUMBER(SEARCH("|"&amp;$C$12&amp;"|",'Base de dados'!$J$71))),AND($C$13&lt;&gt;"",ISNUMBER(SEARCH("|"&amp;$C$13&amp;"|",'Base de dados'!$J$71))),AND($C$14&lt;&gt;"",ISNUMBER(SEARCH("|"&amp;$C$14&amp;"|",'Base de dados'!$J$71))),AND($C$15&lt;&gt;"",ISNUMBER(SEARCH("|"&amp;$C$15&amp;"|",'Base de dados'!$J$71))),AND($C$16&lt;&gt;"",ISNUMBER(SEARCH("|"&amp;$C$16&amp;"|",'Base de dados'!$J$71))),AND($C$17&lt;&gt;"",ISNUMBER(SEARCH("|"&amp;$C$17&amp;"|",'Base de dados'!$J$71))),AND($C$18&lt;&gt;"",ISNUMBER(SEARCH("|"&amp;$C$18&amp;"|",'Base de dados'!$J$71))),AND($C$19&lt;&gt;"",ISNUMBER(SEARCH("|"&amp;$C$19&amp;"|",'Base de dados'!$J$71))),AND($C$20&lt;&gt;"",ISNUMBER(SEARCH("|"&amp;$C$20&amp;"|",'Base de dados'!$J$71)))),"67 - Atividades Curriculares de Extensão IV","")</f>
        <v/>
      </c>
    </row>
    <row r="87" spans="1:16" ht="132" customHeight="1">
      <c r="A87" s="24" t="str">
        <f t="shared" si="1"/>
        <v/>
      </c>
      <c r="B87" s="24" t="str">
        <f t="array" ref="B87">IFERROR(INDEX('Base de dados'!$D$5:$D$73,MATCH($C14,'Base de dados'!$A$5:$A$73,0)),"")</f>
        <v/>
      </c>
      <c r="C87" s="24" t="str">
        <f t="array" ref="C87">IFERROR(INDEX('Base de dados'!$E$5:$E$73,MATCH($C14,'Base de dados'!$A$5:$A$73,0)),"")</f>
        <v/>
      </c>
      <c r="D87" s="24" t="str">
        <f t="array" ref="D87">IFERROR(INDEX('Base de dados'!$G$5:$G$73,MATCH($C14,'Base de dados'!$A$5:$A$73,0)),"")</f>
        <v/>
      </c>
      <c r="E87" s="24" t="str">
        <f t="array" ref="E87">IFERROR(INDEX('Base de dados'!$H$5:$H$73,MATCH($C14,'Base de dados'!$A$5:$A$73,0)),"")</f>
        <v/>
      </c>
      <c r="F87" s="24" t="str">
        <f t="shared" si="2"/>
        <v/>
      </c>
      <c r="O87" s="14">
        <v>68</v>
      </c>
      <c r="P87" s="14" t="str">
        <f>IF(OR(AND($C$6&lt;&gt;"",ISNUMBER(SEARCH("|"&amp;$C$6&amp;"|",'Base de dados'!$J$72))),AND($C$7&lt;&gt;"",ISNUMBER(SEARCH("|"&amp;$C$7&amp;"|",'Base de dados'!$J$72))),AND($C$8&lt;&gt;"",ISNUMBER(SEARCH("|"&amp;$C$8&amp;"|",'Base de dados'!$J$72))),AND($C$9&lt;&gt;"",ISNUMBER(SEARCH("|"&amp;$C$9&amp;"|",'Base de dados'!$J$72))),AND($C$10&lt;&gt;"",ISNUMBER(SEARCH("|"&amp;$C$10&amp;"|",'Base de dados'!$J$72))),AND($C$11&lt;&gt;"",ISNUMBER(SEARCH("|"&amp;$C$11&amp;"|",'Base de dados'!$J$72))),AND($C$12&lt;&gt;"",ISNUMBER(SEARCH("|"&amp;$C$12&amp;"|",'Base de dados'!$J$72))),AND($C$13&lt;&gt;"",ISNUMBER(SEARCH("|"&amp;$C$13&amp;"|",'Base de dados'!$J$72))),AND($C$14&lt;&gt;"",ISNUMBER(SEARCH("|"&amp;$C$14&amp;"|",'Base de dados'!$J$72))),AND($C$15&lt;&gt;"",ISNUMBER(SEARCH("|"&amp;$C$15&amp;"|",'Base de dados'!$J$72))),AND($C$16&lt;&gt;"",ISNUMBER(SEARCH("|"&amp;$C$16&amp;"|",'Base de dados'!$J$72))),AND($C$17&lt;&gt;"",ISNUMBER(SEARCH("|"&amp;$C$17&amp;"|",'Base de dados'!$J$72))),AND($C$18&lt;&gt;"",ISNUMBER(SEARCH("|"&amp;$C$18&amp;"|",'Base de dados'!$J$72))),AND($C$19&lt;&gt;"",ISNUMBER(SEARCH("|"&amp;$C$19&amp;"|",'Base de dados'!$J$72))),AND($C$20&lt;&gt;"",ISNUMBER(SEARCH("|"&amp;$C$20&amp;"|",'Base de dados'!$J$72)))),"68 - Atividades Curriculares de Extensão V","")</f>
        <v/>
      </c>
    </row>
    <row r="88" spans="1:16" ht="132" customHeight="1">
      <c r="A88" s="24" t="str">
        <f t="shared" si="1"/>
        <v/>
      </c>
      <c r="B88" s="24" t="str">
        <f t="array" ref="B88">IFERROR(INDEX('Base de dados'!$D$5:$D$73,MATCH($C15,'Base de dados'!$A$5:$A$73,0)),"")</f>
        <v/>
      </c>
      <c r="C88" s="24" t="str">
        <f t="array" ref="C88">IFERROR(INDEX('Base de dados'!$E$5:$E$73,MATCH($C15,'Base de dados'!$A$5:$A$73,0)),"")</f>
        <v/>
      </c>
      <c r="D88" s="24" t="str">
        <f t="array" ref="D88">IFERROR(INDEX('Base de dados'!$G$5:$G$73,MATCH($C15,'Base de dados'!$A$5:$A$73,0)),"")</f>
        <v/>
      </c>
      <c r="E88" s="24" t="str">
        <f t="array" ref="E88">IFERROR(INDEX('Base de dados'!$H$5:$H$73,MATCH($C15,'Base de dados'!$A$5:$A$73,0)),"")</f>
        <v/>
      </c>
      <c r="F88" s="24" t="str">
        <f t="shared" si="2"/>
        <v/>
      </c>
      <c r="O88" s="14">
        <v>69</v>
      </c>
      <c r="P88" s="14" t="str">
        <f>IF(OR(AND($C$6&lt;&gt;"",ISNUMBER(SEARCH("|"&amp;$C$6&amp;"|",'Base de dados'!$J$73))),AND($C$7&lt;&gt;"",ISNUMBER(SEARCH("|"&amp;$C$7&amp;"|",'Base de dados'!$J$73))),AND($C$8&lt;&gt;"",ISNUMBER(SEARCH("|"&amp;$C$8&amp;"|",'Base de dados'!$J$73))),AND($C$9&lt;&gt;"",ISNUMBER(SEARCH("|"&amp;$C$9&amp;"|",'Base de dados'!$J$73))),AND($C$10&lt;&gt;"",ISNUMBER(SEARCH("|"&amp;$C$10&amp;"|",'Base de dados'!$J$73))),AND($C$11&lt;&gt;"",ISNUMBER(SEARCH("|"&amp;$C$11&amp;"|",'Base de dados'!$J$73))),AND($C$12&lt;&gt;"",ISNUMBER(SEARCH("|"&amp;$C$12&amp;"|",'Base de dados'!$J$73))),AND($C$13&lt;&gt;"",ISNUMBER(SEARCH("|"&amp;$C$13&amp;"|",'Base de dados'!$J$73))),AND($C$14&lt;&gt;"",ISNUMBER(SEARCH("|"&amp;$C$14&amp;"|",'Base de dados'!$J$73))),AND($C$15&lt;&gt;"",ISNUMBER(SEARCH("|"&amp;$C$15&amp;"|",'Base de dados'!$J$73))),AND($C$16&lt;&gt;"",ISNUMBER(SEARCH("|"&amp;$C$16&amp;"|",'Base de dados'!$J$73))),AND($C$17&lt;&gt;"",ISNUMBER(SEARCH("|"&amp;$C$17&amp;"|",'Base de dados'!$J$73))),AND($C$18&lt;&gt;"",ISNUMBER(SEARCH("|"&amp;$C$18&amp;"|",'Base de dados'!$J$73))),AND($C$19&lt;&gt;"",ISNUMBER(SEARCH("|"&amp;$C$19&amp;"|",'Base de dados'!$J$73))),AND($C$20&lt;&gt;"",ISNUMBER(SEARCH("|"&amp;$C$20&amp;"|",'Base de dados'!$J$73)))),"69 - Atividades Curriculares de Extensão: Projeto Interdisciplinar","")</f>
        <v/>
      </c>
    </row>
    <row r="89" spans="1:16" ht="132" customHeight="1">
      <c r="A89" s="24" t="str">
        <f t="shared" si="1"/>
        <v/>
      </c>
      <c r="B89" s="24" t="str">
        <f t="array" ref="B89">IFERROR(INDEX('Base de dados'!$D$5:$D$73,MATCH($C16,'Base de dados'!$A$5:$A$73,0)),"")</f>
        <v/>
      </c>
      <c r="C89" s="24" t="str">
        <f t="array" ref="C89">IFERROR(INDEX('Base de dados'!$E$5:$E$73,MATCH($C16,'Base de dados'!$A$5:$A$73,0)),"")</f>
        <v/>
      </c>
      <c r="D89" s="24" t="str">
        <f t="array" ref="D89">IFERROR(INDEX('Base de dados'!$G$5:$G$73,MATCH($C16,'Base de dados'!$A$5:$A$73,0)),"")</f>
        <v/>
      </c>
      <c r="E89" s="24" t="str">
        <f t="array" ref="E89">IFERROR(INDEX('Base de dados'!$H$5:$H$73,MATCH($C16,'Base de dados'!$A$5:$A$73,0)),"")</f>
        <v/>
      </c>
      <c r="F89" s="24" t="str">
        <f t="shared" si="2"/>
        <v/>
      </c>
    </row>
    <row r="90" spans="1:16" ht="132" customHeight="1">
      <c r="A90" s="24" t="str">
        <f t="shared" si="1"/>
        <v/>
      </c>
      <c r="B90" s="24" t="str">
        <f t="array" ref="B90">IFERROR(INDEX('Base de dados'!$D$5:$D$73,MATCH($C17,'Base de dados'!$A$5:$A$73,0)),"")</f>
        <v/>
      </c>
      <c r="C90" s="24" t="str">
        <f t="array" ref="C90">IFERROR(INDEX('Base de dados'!$E$5:$E$73,MATCH($C17,'Base de dados'!$A$5:$A$73,0)),"")</f>
        <v/>
      </c>
      <c r="D90" s="24" t="str">
        <f t="array" ref="D90">IFERROR(INDEX('Base de dados'!$G$5:$G$73,MATCH($C17,'Base de dados'!$A$5:$A$73,0)),"")</f>
        <v/>
      </c>
      <c r="E90" s="24" t="str">
        <f t="array" ref="E90">IFERROR(INDEX('Base de dados'!$H$5:$H$73,MATCH($C17,'Base de dados'!$A$5:$A$73,0)),"")</f>
        <v/>
      </c>
      <c r="F90" s="24" t="str">
        <f t="shared" si="2"/>
        <v/>
      </c>
    </row>
    <row r="91" spans="1:16" ht="132" customHeight="1">
      <c r="A91" s="24" t="str">
        <f t="shared" si="1"/>
        <v/>
      </c>
      <c r="B91" s="24" t="str">
        <f t="array" ref="B91">IFERROR(INDEX('Base de dados'!$D$5:$D$73,MATCH($C18,'Base de dados'!$A$5:$A$73,0)),"")</f>
        <v/>
      </c>
      <c r="C91" s="24" t="str">
        <f t="array" ref="C91">IFERROR(INDEX('Base de dados'!$E$5:$E$73,MATCH($C18,'Base de dados'!$A$5:$A$73,0)),"")</f>
        <v/>
      </c>
      <c r="D91" s="24" t="str">
        <f t="array" ref="D91">IFERROR(INDEX('Base de dados'!$G$5:$G$73,MATCH($C18,'Base de dados'!$A$5:$A$73,0)),"")</f>
        <v/>
      </c>
      <c r="E91" s="24" t="str">
        <f t="array" ref="E91">IFERROR(INDEX('Base de dados'!$H$5:$H$73,MATCH($C18,'Base de dados'!$A$5:$A$73,0)),"")</f>
        <v/>
      </c>
      <c r="F91" s="24" t="str">
        <f t="shared" si="2"/>
        <v/>
      </c>
    </row>
    <row r="92" spans="1:16" ht="132" customHeight="1">
      <c r="A92" s="24" t="str">
        <f t="shared" si="1"/>
        <v/>
      </c>
      <c r="B92" s="24" t="str">
        <f t="array" ref="B92">IFERROR(INDEX('Base de dados'!$D$5:$D$73,MATCH($C19,'Base de dados'!$A$5:$A$73,0)),"")</f>
        <v/>
      </c>
      <c r="C92" s="24" t="str">
        <f t="array" ref="C92">IFERROR(INDEX('Base de dados'!$E$5:$E$73,MATCH($C19,'Base de dados'!$A$5:$A$73,0)),"")</f>
        <v/>
      </c>
      <c r="D92" s="24" t="str">
        <f t="array" ref="D92">IFERROR(INDEX('Base de dados'!$G$5:$G$73,MATCH($C19,'Base de dados'!$A$5:$A$73,0)),"")</f>
        <v/>
      </c>
      <c r="E92" s="24" t="str">
        <f t="array" ref="E92">IFERROR(INDEX('Base de dados'!$H$5:$H$73,MATCH($C19,'Base de dados'!$A$5:$A$73,0)),"")</f>
        <v/>
      </c>
      <c r="F92" s="24" t="str">
        <f t="shared" si="2"/>
        <v/>
      </c>
    </row>
    <row r="93" spans="1:16" ht="132" customHeight="1">
      <c r="A93" s="24" t="str">
        <f t="shared" si="1"/>
        <v/>
      </c>
      <c r="B93" s="24" t="str">
        <f t="array" ref="B93">IFERROR(INDEX('Base de dados'!$D$5:$D$73,MATCH($C20,'Base de dados'!$A$5:$A$73,0)),"")</f>
        <v/>
      </c>
      <c r="C93" s="24" t="str">
        <f t="array" ref="C93">IFERROR(INDEX('Base de dados'!$E$5:$E$73,MATCH($C20,'Base de dados'!$A$5:$A$73,0)),"")</f>
        <v/>
      </c>
      <c r="D93" s="24" t="str">
        <f t="array" ref="D93">IFERROR(INDEX('Base de dados'!$G$5:$G$73,MATCH($C20,'Base de dados'!$A$5:$A$73,0)),"")</f>
        <v/>
      </c>
      <c r="E93" s="24" t="str">
        <f t="array" ref="E93">IFERROR(INDEX('Base de dados'!$H$5:$H$73,MATCH($C20,'Base de dados'!$A$5:$A$73,0)),"")</f>
        <v/>
      </c>
      <c r="F93" s="24" t="str">
        <f t="shared" si="2"/>
        <v/>
      </c>
    </row>
    <row r="94" spans="1:16" ht="14.25" customHeight="1"/>
    <row r="95" spans="1:16" ht="14.25" customHeight="1"/>
    <row r="96" spans="1:16" ht="14.25" customHeight="1">
      <c r="A96" s="157" t="s">
        <v>193</v>
      </c>
      <c r="B96" s="152"/>
      <c r="C96" s="152"/>
      <c r="D96" s="152"/>
      <c r="E96" s="152"/>
      <c r="F96" s="153"/>
    </row>
    <row r="97" spans="1:6" ht="14.25" customHeight="1">
      <c r="A97" s="158"/>
      <c r="B97" s="71"/>
      <c r="C97" s="71"/>
      <c r="D97" s="71"/>
      <c r="E97" s="71"/>
      <c r="F97" s="159"/>
    </row>
    <row r="98" spans="1:6" ht="14.25" customHeight="1">
      <c r="A98" s="154"/>
      <c r="B98" s="155"/>
      <c r="C98" s="155"/>
      <c r="D98" s="155"/>
      <c r="E98" s="155"/>
      <c r="F98" s="156"/>
    </row>
    <row r="99" spans="1:6" ht="14.25" customHeight="1"/>
    <row r="100" spans="1:6" ht="14.25" customHeight="1"/>
  </sheetData>
  <mergeCells count="9">
    <mergeCell ref="A96:F98"/>
    <mergeCell ref="A5:F5"/>
    <mergeCell ref="D6:F7"/>
    <mergeCell ref="D8:F8"/>
    <mergeCell ref="A1:H2"/>
    <mergeCell ref="A3:H3"/>
    <mergeCell ref="D10:F11"/>
    <mergeCell ref="D12:F12"/>
    <mergeCell ref="A77:F77"/>
  </mergeCells>
  <conditionalFormatting sqref="A79:F93">
    <cfRule type="expression" dxfId="13" priority="1">
      <formula>$A79=""</formula>
    </cfRule>
  </conditionalFormatting>
  <conditionalFormatting sqref="B6:B20">
    <cfRule type="notContainsBlanks" dxfId="12" priority="2">
      <formula>LEN(TRIM(B6))&gt;0</formula>
    </cfRule>
  </conditionalFormatting>
  <dataValidations count="1">
    <dataValidation type="list" allowBlank="1" sqref="B6:B20" xr:uid="{00000000-0002-0000-0200-000000000000}">
      <formula1>$Q$2:$Q$70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62"/>
  <sheetViews>
    <sheetView showGridLines="0" zoomScaleNormal="100" workbookViewId="0">
      <selection activeCell="I50" sqref="I50"/>
    </sheetView>
  </sheetViews>
  <sheetFormatPr defaultColWidth="14.42578125" defaultRowHeight="15"/>
  <cols>
    <col min="1" max="1" width="12.5703125" customWidth="1"/>
    <col min="2" max="6" width="10.5703125" customWidth="1"/>
    <col min="7" max="7" width="3" customWidth="1"/>
    <col min="8" max="8" width="6.42578125" customWidth="1"/>
    <col min="9" max="9" width="5.5703125" customWidth="1"/>
    <col min="10" max="10" width="7.5703125" customWidth="1"/>
    <col min="11" max="11" width="37" customWidth="1"/>
    <col min="12" max="12" width="16" customWidth="1"/>
    <col min="13" max="13" width="10.5703125" customWidth="1"/>
  </cols>
  <sheetData>
    <row r="1" spans="1:13" ht="14.25" customHeight="1">
      <c r="A1" s="167" t="s">
        <v>194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14.25" customHeight="1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14.25" customHeight="1">
      <c r="A3" s="182" t="s">
        <v>195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13" ht="14.25" customHeight="1">
      <c r="I4" s="25"/>
      <c r="J4" s="25"/>
      <c r="L4" s="25"/>
      <c r="M4" s="25"/>
    </row>
    <row r="5" spans="1:13" ht="14.25" customHeight="1">
      <c r="A5" s="181" t="s">
        <v>15</v>
      </c>
      <c r="B5" s="177"/>
      <c r="C5" s="177"/>
      <c r="D5" s="177"/>
      <c r="E5" s="177"/>
      <c r="F5" s="178"/>
      <c r="G5" s="25"/>
      <c r="H5" s="181" t="s">
        <v>196</v>
      </c>
      <c r="I5" s="177"/>
      <c r="J5" s="177"/>
      <c r="K5" s="177"/>
      <c r="L5" s="177"/>
      <c r="M5" s="178"/>
    </row>
    <row r="6" spans="1:13" ht="14.25" customHeight="1">
      <c r="A6" s="26" t="s">
        <v>197</v>
      </c>
      <c r="B6" s="26" t="s">
        <v>198</v>
      </c>
      <c r="C6" s="26" t="s">
        <v>199</v>
      </c>
      <c r="D6" s="26" t="s">
        <v>200</v>
      </c>
      <c r="E6" s="26" t="s">
        <v>201</v>
      </c>
      <c r="F6" s="26" t="s">
        <v>202</v>
      </c>
      <c r="H6" s="27" t="s">
        <v>203</v>
      </c>
      <c r="I6" s="28" t="s">
        <v>204</v>
      </c>
      <c r="J6" s="28" t="s">
        <v>205</v>
      </c>
      <c r="K6" s="28" t="s">
        <v>187</v>
      </c>
      <c r="L6" s="28" t="s">
        <v>206</v>
      </c>
      <c r="M6" s="28" t="s">
        <v>207</v>
      </c>
    </row>
    <row r="7" spans="1:13" ht="27" customHeight="1">
      <c r="A7" s="29" t="s">
        <v>208</v>
      </c>
      <c r="B7" s="30" t="s">
        <v>209</v>
      </c>
      <c r="C7" s="30" t="s">
        <v>210</v>
      </c>
      <c r="D7" s="30" t="s">
        <v>209</v>
      </c>
      <c r="E7" s="30"/>
      <c r="F7" s="30" t="s">
        <v>211</v>
      </c>
      <c r="H7" s="31" t="s">
        <v>212</v>
      </c>
      <c r="I7" s="30">
        <v>1</v>
      </c>
      <c r="J7" s="30" t="s">
        <v>213</v>
      </c>
      <c r="K7" s="32" t="s">
        <v>214</v>
      </c>
      <c r="L7" s="30" t="s">
        <v>215</v>
      </c>
      <c r="M7" s="30" t="s">
        <v>216</v>
      </c>
    </row>
    <row r="8" spans="1:13" ht="27" customHeight="1">
      <c r="A8" s="33" t="s">
        <v>217</v>
      </c>
      <c r="B8" s="34" t="s">
        <v>209</v>
      </c>
      <c r="C8" s="34" t="s">
        <v>210</v>
      </c>
      <c r="D8" s="34" t="s">
        <v>209</v>
      </c>
      <c r="E8" s="34"/>
      <c r="F8" s="34" t="s">
        <v>211</v>
      </c>
      <c r="H8" s="35" t="s">
        <v>212</v>
      </c>
      <c r="I8" s="34">
        <v>2</v>
      </c>
      <c r="J8" s="34" t="s">
        <v>211</v>
      </c>
      <c r="K8" s="36" t="s">
        <v>218</v>
      </c>
      <c r="L8" s="34" t="s">
        <v>219</v>
      </c>
      <c r="M8" s="34" t="s">
        <v>216</v>
      </c>
    </row>
    <row r="9" spans="1:13" ht="27" customHeight="1">
      <c r="A9" s="33" t="s">
        <v>220</v>
      </c>
      <c r="B9" s="34" t="s">
        <v>210</v>
      </c>
      <c r="C9" s="34" t="s">
        <v>209</v>
      </c>
      <c r="D9" s="34" t="s">
        <v>210</v>
      </c>
      <c r="E9" s="34"/>
      <c r="F9" s="34"/>
      <c r="H9" s="35" t="s">
        <v>212</v>
      </c>
      <c r="I9" s="34">
        <v>3</v>
      </c>
      <c r="J9" s="34" t="s">
        <v>221</v>
      </c>
      <c r="K9" s="36" t="s">
        <v>222</v>
      </c>
      <c r="L9" s="34" t="s">
        <v>223</v>
      </c>
      <c r="M9" s="34" t="s">
        <v>224</v>
      </c>
    </row>
    <row r="10" spans="1:13" ht="27" customHeight="1">
      <c r="A10" s="33" t="s">
        <v>225</v>
      </c>
      <c r="B10" s="34" t="s">
        <v>210</v>
      </c>
      <c r="C10" s="34" t="s">
        <v>209</v>
      </c>
      <c r="D10" s="34" t="s">
        <v>210</v>
      </c>
      <c r="E10" s="34"/>
      <c r="F10" s="34" t="s">
        <v>221</v>
      </c>
      <c r="H10" s="35" t="s">
        <v>212</v>
      </c>
      <c r="I10" s="34">
        <v>4</v>
      </c>
      <c r="J10" s="34" t="s">
        <v>209</v>
      </c>
      <c r="K10" s="36" t="s">
        <v>226</v>
      </c>
      <c r="L10" s="34" t="s">
        <v>227</v>
      </c>
      <c r="M10" s="34" t="s">
        <v>216</v>
      </c>
    </row>
    <row r="11" spans="1:13" ht="27" customHeight="1">
      <c r="A11" s="33" t="s">
        <v>228</v>
      </c>
      <c r="B11" s="34" t="s">
        <v>229</v>
      </c>
      <c r="C11" s="34" t="s">
        <v>229</v>
      </c>
      <c r="D11" s="34" t="s">
        <v>213</v>
      </c>
      <c r="E11" s="34" t="s">
        <v>211</v>
      </c>
      <c r="F11" s="34" t="s">
        <v>221</v>
      </c>
      <c r="H11" s="35" t="s">
        <v>212</v>
      </c>
      <c r="I11" s="34">
        <v>5</v>
      </c>
      <c r="J11" s="34" t="s">
        <v>210</v>
      </c>
      <c r="K11" s="36" t="s">
        <v>230</v>
      </c>
      <c r="L11" s="34" t="s">
        <v>231</v>
      </c>
      <c r="M11" s="34" t="s">
        <v>216</v>
      </c>
    </row>
    <row r="12" spans="1:13" ht="27" customHeight="1">
      <c r="A12" s="33" t="s">
        <v>232</v>
      </c>
      <c r="B12" s="34" t="s">
        <v>229</v>
      </c>
      <c r="C12" s="34" t="s">
        <v>229</v>
      </c>
      <c r="D12" s="34" t="s">
        <v>213</v>
      </c>
      <c r="E12" s="34" t="s">
        <v>211</v>
      </c>
      <c r="F12" s="34" t="s">
        <v>221</v>
      </c>
      <c r="H12" s="35" t="s">
        <v>212</v>
      </c>
      <c r="I12" s="34">
        <v>6</v>
      </c>
      <c r="J12" s="34" t="s">
        <v>229</v>
      </c>
      <c r="K12" s="36" t="s">
        <v>233</v>
      </c>
      <c r="L12" s="34" t="s">
        <v>234</v>
      </c>
      <c r="M12" s="34" t="s">
        <v>235</v>
      </c>
    </row>
    <row r="13" spans="1:13" ht="14.25" customHeight="1">
      <c r="A13" s="33" t="s">
        <v>236</v>
      </c>
      <c r="B13" s="34"/>
      <c r="C13" s="34"/>
      <c r="D13" s="34"/>
      <c r="E13" s="34"/>
      <c r="F13" s="34"/>
      <c r="I13" s="62"/>
      <c r="J13" s="63"/>
      <c r="L13" s="25"/>
      <c r="M13" s="25"/>
    </row>
    <row r="14" spans="1:13" ht="14.25" customHeight="1">
      <c r="A14" s="33" t="s">
        <v>237</v>
      </c>
      <c r="B14" s="34"/>
      <c r="C14" s="34"/>
      <c r="D14" s="34"/>
      <c r="E14" s="34"/>
      <c r="F14" s="34"/>
      <c r="I14" s="25"/>
      <c r="J14" s="25"/>
      <c r="L14" s="25"/>
      <c r="M14" s="25"/>
    </row>
    <row r="15" spans="1:13" ht="14.25" customHeight="1">
      <c r="A15" s="33" t="s">
        <v>238</v>
      </c>
      <c r="B15" s="34"/>
      <c r="C15" s="34"/>
      <c r="D15" s="34"/>
      <c r="E15" s="34"/>
      <c r="F15" s="34"/>
      <c r="I15" s="25"/>
      <c r="J15" s="25"/>
      <c r="L15" s="25"/>
      <c r="M15" s="25"/>
    </row>
    <row r="16" spans="1:13" ht="14.25" customHeight="1">
      <c r="A16" s="33" t="s">
        <v>239</v>
      </c>
      <c r="B16" s="34"/>
      <c r="C16" s="34"/>
      <c r="D16" s="34"/>
      <c r="E16" s="34"/>
      <c r="F16" s="34"/>
      <c r="I16" s="25"/>
      <c r="J16" s="25"/>
      <c r="L16" s="25"/>
      <c r="M16" s="25"/>
    </row>
    <row r="17" spans="1:13" ht="14.25" customHeight="1">
      <c r="A17" s="33" t="s">
        <v>240</v>
      </c>
      <c r="B17" s="34"/>
      <c r="C17" s="34"/>
      <c r="D17" s="34"/>
      <c r="E17" s="34"/>
      <c r="F17" s="34"/>
      <c r="I17" s="25"/>
      <c r="J17" s="25"/>
      <c r="L17" s="25"/>
      <c r="M17" s="25"/>
    </row>
    <row r="18" spans="1:13" ht="14.25" customHeight="1">
      <c r="A18" s="33" t="s">
        <v>241</v>
      </c>
      <c r="B18" s="34"/>
      <c r="C18" s="34"/>
      <c r="D18" s="34"/>
      <c r="E18" s="34"/>
      <c r="F18" s="34"/>
      <c r="I18" s="25"/>
      <c r="J18" s="25"/>
      <c r="L18" s="25"/>
      <c r="M18" s="25"/>
    </row>
    <row r="19" spans="1:13" ht="14.25" customHeight="1">
      <c r="I19" s="25"/>
      <c r="J19" s="25"/>
      <c r="L19" s="25"/>
      <c r="M19" s="25"/>
    </row>
    <row r="20" spans="1:13" ht="14.25" customHeight="1">
      <c r="I20" s="25"/>
      <c r="J20" s="25"/>
      <c r="L20" s="25"/>
      <c r="M20" s="25"/>
    </row>
    <row r="21" spans="1:13" ht="14.25" customHeight="1">
      <c r="A21" s="181" t="s">
        <v>16</v>
      </c>
      <c r="B21" s="177"/>
      <c r="C21" s="177"/>
      <c r="D21" s="177"/>
      <c r="E21" s="177"/>
      <c r="F21" s="178"/>
      <c r="G21" s="37"/>
      <c r="H21" s="181" t="s">
        <v>242</v>
      </c>
      <c r="I21" s="177"/>
      <c r="J21" s="177"/>
      <c r="K21" s="177"/>
      <c r="L21" s="177"/>
      <c r="M21" s="178"/>
    </row>
    <row r="22" spans="1:13" ht="14.25" customHeight="1">
      <c r="A22" s="26" t="s">
        <v>197</v>
      </c>
      <c r="B22" s="26" t="s">
        <v>198</v>
      </c>
      <c r="C22" s="26" t="s">
        <v>199</v>
      </c>
      <c r="D22" s="26" t="s">
        <v>200</v>
      </c>
      <c r="E22" s="26" t="s">
        <v>201</v>
      </c>
      <c r="F22" s="26" t="s">
        <v>202</v>
      </c>
      <c r="G22" s="38"/>
      <c r="H22" s="27" t="s">
        <v>203</v>
      </c>
      <c r="I22" s="28" t="s">
        <v>204</v>
      </c>
      <c r="J22" s="28" t="s">
        <v>205</v>
      </c>
      <c r="K22" s="28" t="s">
        <v>187</v>
      </c>
      <c r="L22" s="28" t="s">
        <v>206</v>
      </c>
      <c r="M22" s="28" t="s">
        <v>207</v>
      </c>
    </row>
    <row r="23" spans="1:13" ht="27" customHeight="1">
      <c r="A23" s="29" t="s">
        <v>208</v>
      </c>
      <c r="B23" s="30"/>
      <c r="C23" s="30" t="s">
        <v>243</v>
      </c>
      <c r="D23" s="30"/>
      <c r="E23" s="30" t="s">
        <v>244</v>
      </c>
      <c r="F23" s="30"/>
      <c r="H23" s="31" t="s">
        <v>212</v>
      </c>
      <c r="I23" s="30">
        <v>7</v>
      </c>
      <c r="J23" s="30" t="s">
        <v>244</v>
      </c>
      <c r="K23" s="32" t="s">
        <v>245</v>
      </c>
      <c r="L23" s="30" t="s">
        <v>246</v>
      </c>
      <c r="M23" s="30" t="s">
        <v>247</v>
      </c>
    </row>
    <row r="24" spans="1:13" ht="27" customHeight="1">
      <c r="A24" s="33" t="s">
        <v>217</v>
      </c>
      <c r="B24" s="34"/>
      <c r="C24" s="34" t="s">
        <v>243</v>
      </c>
      <c r="D24" s="34" t="s">
        <v>248</v>
      </c>
      <c r="E24" s="34" t="s">
        <v>244</v>
      </c>
      <c r="F24" s="34"/>
      <c r="H24" s="35" t="s">
        <v>212</v>
      </c>
      <c r="I24" s="34">
        <v>8</v>
      </c>
      <c r="J24" s="34" t="s">
        <v>249</v>
      </c>
      <c r="K24" s="36" t="s">
        <v>250</v>
      </c>
      <c r="L24" s="34" t="s">
        <v>246</v>
      </c>
      <c r="M24" s="34" t="s">
        <v>251</v>
      </c>
    </row>
    <row r="25" spans="1:13" ht="27" customHeight="1">
      <c r="A25" s="33" t="s">
        <v>220</v>
      </c>
      <c r="B25" s="34" t="s">
        <v>252</v>
      </c>
      <c r="C25" s="34" t="s">
        <v>253</v>
      </c>
      <c r="D25" s="34" t="s">
        <v>248</v>
      </c>
      <c r="E25" s="34" t="s">
        <v>254</v>
      </c>
      <c r="F25" s="34" t="s">
        <v>253</v>
      </c>
      <c r="H25" s="35" t="s">
        <v>212</v>
      </c>
      <c r="I25" s="34">
        <v>9</v>
      </c>
      <c r="J25" s="34" t="s">
        <v>253</v>
      </c>
      <c r="K25" s="36" t="s">
        <v>255</v>
      </c>
      <c r="L25" s="34" t="s">
        <v>256</v>
      </c>
      <c r="M25" s="34" t="s">
        <v>247</v>
      </c>
    </row>
    <row r="26" spans="1:13" ht="27" customHeight="1">
      <c r="A26" s="33" t="s">
        <v>225</v>
      </c>
      <c r="B26" s="34" t="s">
        <v>252</v>
      </c>
      <c r="C26" s="34" t="s">
        <v>253</v>
      </c>
      <c r="D26" s="34" t="s">
        <v>243</v>
      </c>
      <c r="E26" s="34" t="s">
        <v>254</v>
      </c>
      <c r="F26" s="34" t="s">
        <v>253</v>
      </c>
      <c r="H26" s="35" t="s">
        <v>212</v>
      </c>
      <c r="I26" s="34">
        <v>10</v>
      </c>
      <c r="J26" s="34" t="s">
        <v>252</v>
      </c>
      <c r="K26" s="36" t="s">
        <v>257</v>
      </c>
      <c r="L26" s="34" t="s">
        <v>256</v>
      </c>
      <c r="M26" s="34" t="s">
        <v>258</v>
      </c>
    </row>
    <row r="27" spans="1:13" ht="27" customHeight="1">
      <c r="A27" s="33" t="s">
        <v>228</v>
      </c>
      <c r="B27" s="34" t="s">
        <v>249</v>
      </c>
      <c r="C27" s="34" t="s">
        <v>248</v>
      </c>
      <c r="D27" s="34" t="s">
        <v>243</v>
      </c>
      <c r="E27" s="34" t="s">
        <v>254</v>
      </c>
      <c r="F27" s="34" t="s">
        <v>244</v>
      </c>
      <c r="H27" s="35" t="s">
        <v>212</v>
      </c>
      <c r="I27" s="34">
        <v>11</v>
      </c>
      <c r="J27" s="34" t="s">
        <v>243</v>
      </c>
      <c r="K27" s="36" t="s">
        <v>259</v>
      </c>
      <c r="L27" s="34" t="s">
        <v>260</v>
      </c>
      <c r="M27" s="34" t="s">
        <v>247</v>
      </c>
    </row>
    <row r="28" spans="1:13" ht="27" customHeight="1">
      <c r="A28" s="33" t="s">
        <v>232</v>
      </c>
      <c r="B28" s="34" t="s">
        <v>249</v>
      </c>
      <c r="C28" s="34" t="s">
        <v>248</v>
      </c>
      <c r="D28" s="34" t="s">
        <v>243</v>
      </c>
      <c r="E28" s="34" t="s">
        <v>254</v>
      </c>
      <c r="F28" s="34" t="s">
        <v>244</v>
      </c>
      <c r="H28" s="35" t="s">
        <v>212</v>
      </c>
      <c r="I28" s="34">
        <v>12</v>
      </c>
      <c r="J28" s="34" t="s">
        <v>248</v>
      </c>
      <c r="K28" s="36" t="s">
        <v>261</v>
      </c>
      <c r="L28" s="34" t="s">
        <v>262</v>
      </c>
      <c r="M28" s="34" t="s">
        <v>247</v>
      </c>
    </row>
    <row r="29" spans="1:13" ht="14.25" customHeight="1">
      <c r="A29" s="33" t="s">
        <v>236</v>
      </c>
      <c r="B29" s="34"/>
      <c r="C29" s="34"/>
      <c r="D29" s="34"/>
      <c r="E29" s="34"/>
      <c r="F29" s="34"/>
      <c r="H29" s="35" t="s">
        <v>212</v>
      </c>
      <c r="I29" s="34">
        <v>13</v>
      </c>
      <c r="J29" s="34" t="s">
        <v>254</v>
      </c>
      <c r="K29" s="36" t="s">
        <v>263</v>
      </c>
      <c r="L29" s="34" t="s">
        <v>264</v>
      </c>
      <c r="M29" s="34" t="s">
        <v>235</v>
      </c>
    </row>
    <row r="30" spans="1:13" ht="14.25" customHeight="1">
      <c r="A30" s="33" t="s">
        <v>237</v>
      </c>
      <c r="B30" s="34"/>
      <c r="C30" s="34"/>
      <c r="D30" s="34"/>
      <c r="E30" s="34"/>
      <c r="F30" s="34"/>
      <c r="I30" s="25"/>
      <c r="J30" s="25"/>
      <c r="L30" s="25"/>
      <c r="M30" s="25"/>
    </row>
    <row r="31" spans="1:13" ht="14.25" customHeight="1">
      <c r="A31" s="33" t="s">
        <v>238</v>
      </c>
      <c r="B31" s="34"/>
      <c r="C31" s="34"/>
      <c r="D31" s="34"/>
      <c r="E31" s="34"/>
      <c r="F31" s="34"/>
      <c r="I31" s="25"/>
      <c r="J31" s="25"/>
      <c r="L31" s="25"/>
      <c r="M31" s="25"/>
    </row>
    <row r="32" spans="1:13" ht="14.25" customHeight="1">
      <c r="A32" s="33" t="s">
        <v>239</v>
      </c>
      <c r="B32" s="34"/>
      <c r="C32" s="34"/>
      <c r="D32" s="34"/>
      <c r="E32" s="34"/>
      <c r="F32" s="34"/>
      <c r="I32" s="25"/>
      <c r="J32" s="25"/>
      <c r="L32" s="25"/>
      <c r="M32" s="25"/>
    </row>
    <row r="33" spans="1:13" ht="14.25" customHeight="1">
      <c r="A33" s="33" t="s">
        <v>240</v>
      </c>
      <c r="B33" s="34"/>
      <c r="C33" s="34"/>
      <c r="D33" s="34"/>
      <c r="E33" s="34"/>
      <c r="F33" s="34"/>
      <c r="I33" s="25"/>
      <c r="J33" s="25"/>
      <c r="L33" s="25"/>
      <c r="M33" s="25"/>
    </row>
    <row r="34" spans="1:13" ht="14.25" customHeight="1">
      <c r="A34" s="33" t="s">
        <v>241</v>
      </c>
      <c r="B34" s="34"/>
      <c r="C34" s="34"/>
      <c r="D34" s="34"/>
      <c r="E34" s="34"/>
      <c r="F34" s="34"/>
      <c r="I34" s="25"/>
      <c r="J34" s="25"/>
      <c r="L34" s="25"/>
      <c r="M34" s="25"/>
    </row>
    <row r="35" spans="1:13" ht="14.25" customHeight="1">
      <c r="I35" s="25"/>
      <c r="J35" s="25"/>
      <c r="L35" s="25"/>
      <c r="M35" s="25"/>
    </row>
    <row r="36" spans="1:13" ht="14.25" customHeight="1">
      <c r="I36" s="25"/>
      <c r="J36" s="25"/>
      <c r="L36" s="25"/>
      <c r="M36" s="25"/>
    </row>
    <row r="37" spans="1:13" ht="14.25" customHeight="1">
      <c r="A37" s="181" t="s">
        <v>17</v>
      </c>
      <c r="B37" s="177"/>
      <c r="C37" s="177"/>
      <c r="D37" s="177"/>
      <c r="E37" s="177"/>
      <c r="F37" s="178"/>
      <c r="G37" s="37"/>
      <c r="H37" s="181" t="s">
        <v>265</v>
      </c>
      <c r="I37" s="177"/>
      <c r="J37" s="177"/>
      <c r="K37" s="177"/>
      <c r="L37" s="177"/>
      <c r="M37" s="178"/>
    </row>
    <row r="38" spans="1:13" ht="14.25" customHeight="1">
      <c r="A38" s="26" t="s">
        <v>197</v>
      </c>
      <c r="B38" s="26" t="s">
        <v>198</v>
      </c>
      <c r="C38" s="26" t="s">
        <v>199</v>
      </c>
      <c r="D38" s="26" t="s">
        <v>200</v>
      </c>
      <c r="E38" s="26" t="s">
        <v>201</v>
      </c>
      <c r="F38" s="26" t="s">
        <v>202</v>
      </c>
      <c r="G38" s="38"/>
      <c r="H38" s="27" t="s">
        <v>203</v>
      </c>
      <c r="I38" s="28" t="s">
        <v>204</v>
      </c>
      <c r="J38" s="28" t="s">
        <v>205</v>
      </c>
      <c r="K38" s="28" t="s">
        <v>187</v>
      </c>
      <c r="L38" s="28" t="s">
        <v>206</v>
      </c>
      <c r="M38" s="28" t="s">
        <v>207</v>
      </c>
    </row>
    <row r="39" spans="1:13" ht="27" customHeight="1">
      <c r="A39" s="29" t="s">
        <v>208</v>
      </c>
      <c r="B39" s="30"/>
      <c r="C39" s="30"/>
      <c r="D39" s="30" t="s">
        <v>266</v>
      </c>
      <c r="E39" s="30" t="s">
        <v>267</v>
      </c>
      <c r="F39" s="30"/>
      <c r="H39" s="31" t="s">
        <v>212</v>
      </c>
      <c r="I39" s="30">
        <v>14</v>
      </c>
      <c r="J39" s="30" t="s">
        <v>268</v>
      </c>
      <c r="K39" s="32" t="s">
        <v>269</v>
      </c>
      <c r="L39" s="30" t="s">
        <v>270</v>
      </c>
      <c r="M39" s="30" t="s">
        <v>271</v>
      </c>
    </row>
    <row r="40" spans="1:13" ht="27" customHeight="1">
      <c r="A40" s="33" t="s">
        <v>217</v>
      </c>
      <c r="B40" s="34"/>
      <c r="C40" s="34" t="s">
        <v>268</v>
      </c>
      <c r="D40" s="34" t="s">
        <v>266</v>
      </c>
      <c r="E40" s="34" t="s">
        <v>267</v>
      </c>
      <c r="F40" s="34"/>
      <c r="H40" s="35" t="s">
        <v>212</v>
      </c>
      <c r="I40" s="34">
        <v>15</v>
      </c>
      <c r="J40" s="34" t="s">
        <v>272</v>
      </c>
      <c r="K40" s="36" t="s">
        <v>273</v>
      </c>
      <c r="L40" s="34" t="s">
        <v>274</v>
      </c>
      <c r="M40" s="34" t="s">
        <v>271</v>
      </c>
    </row>
    <row r="41" spans="1:13" ht="27" customHeight="1">
      <c r="A41" s="33" t="s">
        <v>220</v>
      </c>
      <c r="B41" s="34" t="s">
        <v>266</v>
      </c>
      <c r="C41" s="34" t="s">
        <v>268</v>
      </c>
      <c r="D41" s="34" t="s">
        <v>267</v>
      </c>
      <c r="E41" s="34" t="s">
        <v>275</v>
      </c>
      <c r="F41" s="34" t="s">
        <v>276</v>
      </c>
      <c r="H41" s="35" t="s">
        <v>212</v>
      </c>
      <c r="I41" s="34">
        <v>16</v>
      </c>
      <c r="J41" s="34" t="s">
        <v>277</v>
      </c>
      <c r="K41" s="36" t="s">
        <v>278</v>
      </c>
      <c r="L41" s="34" t="s">
        <v>274</v>
      </c>
      <c r="M41" s="34" t="s">
        <v>251</v>
      </c>
    </row>
    <row r="42" spans="1:13" ht="27" customHeight="1">
      <c r="A42" s="33" t="s">
        <v>225</v>
      </c>
      <c r="B42" s="34" t="s">
        <v>266</v>
      </c>
      <c r="C42" s="34" t="s">
        <v>279</v>
      </c>
      <c r="D42" s="34" t="s">
        <v>267</v>
      </c>
      <c r="E42" s="34" t="s">
        <v>275</v>
      </c>
      <c r="F42" s="34" t="s">
        <v>276</v>
      </c>
      <c r="H42" s="35" t="s">
        <v>212</v>
      </c>
      <c r="I42" s="34">
        <v>17</v>
      </c>
      <c r="J42" s="34" t="s">
        <v>275</v>
      </c>
      <c r="K42" s="36" t="s">
        <v>280</v>
      </c>
      <c r="L42" s="34" t="s">
        <v>281</v>
      </c>
      <c r="M42" s="34" t="s">
        <v>271</v>
      </c>
    </row>
    <row r="43" spans="1:13" ht="27" customHeight="1">
      <c r="A43" s="33" t="s">
        <v>228</v>
      </c>
      <c r="B43" s="34" t="s">
        <v>272</v>
      </c>
      <c r="C43" s="34" t="s">
        <v>279</v>
      </c>
      <c r="D43" s="34" t="s">
        <v>275</v>
      </c>
      <c r="E43" s="34" t="s">
        <v>279</v>
      </c>
      <c r="F43" s="34" t="s">
        <v>277</v>
      </c>
      <c r="H43" s="35" t="s">
        <v>212</v>
      </c>
      <c r="I43" s="34">
        <v>18</v>
      </c>
      <c r="J43" s="34" t="s">
        <v>276</v>
      </c>
      <c r="K43" s="36" t="s">
        <v>282</v>
      </c>
      <c r="L43" s="34" t="s">
        <v>281</v>
      </c>
      <c r="M43" s="34" t="s">
        <v>258</v>
      </c>
    </row>
    <row r="44" spans="1:13" ht="27" customHeight="1">
      <c r="A44" s="33" t="s">
        <v>232</v>
      </c>
      <c r="B44" s="34" t="s">
        <v>272</v>
      </c>
      <c r="C44" s="34" t="s">
        <v>279</v>
      </c>
      <c r="D44" s="34" t="s">
        <v>275</v>
      </c>
      <c r="E44" s="34" t="s">
        <v>279</v>
      </c>
      <c r="F44" s="34" t="s">
        <v>277</v>
      </c>
      <c r="H44" s="35" t="s">
        <v>212</v>
      </c>
      <c r="I44" s="34">
        <v>19</v>
      </c>
      <c r="J44" s="34" t="s">
        <v>267</v>
      </c>
      <c r="K44" s="36" t="s">
        <v>283</v>
      </c>
      <c r="L44" s="34" t="s">
        <v>284</v>
      </c>
      <c r="M44" s="34" t="s">
        <v>271</v>
      </c>
    </row>
    <row r="45" spans="1:13" ht="14.25" customHeight="1">
      <c r="A45" s="33" t="s">
        <v>236</v>
      </c>
      <c r="B45" s="34"/>
      <c r="C45" s="34"/>
      <c r="D45" s="34"/>
      <c r="E45" s="34"/>
      <c r="F45" s="34"/>
      <c r="H45" s="35" t="s">
        <v>212</v>
      </c>
      <c r="I45" s="34">
        <v>20</v>
      </c>
      <c r="J45" s="34" t="s">
        <v>266</v>
      </c>
      <c r="K45" s="36" t="s">
        <v>285</v>
      </c>
      <c r="L45" s="34" t="s">
        <v>260</v>
      </c>
      <c r="M45" s="34" t="s">
        <v>271</v>
      </c>
    </row>
    <row r="46" spans="1:13" ht="14.25" customHeight="1">
      <c r="A46" s="33" t="s">
        <v>237</v>
      </c>
      <c r="B46" s="34"/>
      <c r="C46" s="34"/>
      <c r="D46" s="34"/>
      <c r="E46" s="34"/>
      <c r="F46" s="34"/>
      <c r="H46" s="35" t="s">
        <v>212</v>
      </c>
      <c r="I46" s="34">
        <v>21</v>
      </c>
      <c r="J46" s="34" t="s">
        <v>279</v>
      </c>
      <c r="K46" s="36" t="s">
        <v>286</v>
      </c>
      <c r="L46" s="34" t="s">
        <v>287</v>
      </c>
      <c r="M46" s="34" t="s">
        <v>271</v>
      </c>
    </row>
    <row r="47" spans="1:13" ht="14.25" customHeight="1">
      <c r="A47" s="33" t="s">
        <v>238</v>
      </c>
      <c r="B47" s="34"/>
      <c r="C47" s="34"/>
      <c r="D47" s="34"/>
      <c r="E47" s="34"/>
      <c r="F47" s="34"/>
      <c r="I47" s="25"/>
      <c r="J47" s="25"/>
      <c r="L47" s="25"/>
      <c r="M47" s="25"/>
    </row>
    <row r="48" spans="1:13" ht="14.25" customHeight="1">
      <c r="A48" s="33" t="s">
        <v>239</v>
      </c>
      <c r="B48" s="34"/>
      <c r="C48" s="34"/>
      <c r="D48" s="34"/>
      <c r="E48" s="34"/>
      <c r="F48" s="34"/>
      <c r="I48" s="25"/>
      <c r="J48" s="25"/>
      <c r="L48" s="25"/>
      <c r="M48" s="25"/>
    </row>
    <row r="49" spans="1:13" ht="14.25" customHeight="1">
      <c r="A49" s="33" t="s">
        <v>240</v>
      </c>
      <c r="B49" s="34"/>
      <c r="C49" s="34"/>
      <c r="D49" s="34"/>
      <c r="E49" s="34"/>
      <c r="F49" s="34"/>
      <c r="I49" s="25"/>
      <c r="J49" s="25"/>
      <c r="L49" s="25"/>
      <c r="M49" s="25"/>
    </row>
    <row r="50" spans="1:13" ht="14.25" customHeight="1">
      <c r="A50" s="33" t="s">
        <v>241</v>
      </c>
      <c r="B50" s="34"/>
      <c r="C50" s="34"/>
      <c r="D50" s="34"/>
      <c r="E50" s="34"/>
      <c r="F50" s="34"/>
      <c r="I50" s="25"/>
      <c r="J50" s="25"/>
      <c r="L50" s="25"/>
      <c r="M50" s="25"/>
    </row>
    <row r="51" spans="1:13" ht="14.25" customHeight="1">
      <c r="I51" s="25"/>
      <c r="J51" s="25"/>
      <c r="L51" s="25"/>
      <c r="M51" s="25"/>
    </row>
    <row r="52" spans="1:13" ht="14.25" customHeight="1">
      <c r="I52" s="25"/>
      <c r="J52" s="25"/>
      <c r="L52" s="25"/>
      <c r="M52" s="25"/>
    </row>
    <row r="53" spans="1:13" ht="14.25" customHeight="1">
      <c r="A53" s="180" t="s">
        <v>18</v>
      </c>
      <c r="B53" s="177"/>
      <c r="C53" s="177"/>
      <c r="D53" s="177"/>
      <c r="E53" s="177"/>
      <c r="F53" s="178"/>
      <c r="G53" s="37"/>
      <c r="H53" s="180" t="s">
        <v>288</v>
      </c>
      <c r="I53" s="177"/>
      <c r="J53" s="177"/>
      <c r="K53" s="177"/>
      <c r="L53" s="177"/>
      <c r="M53" s="178"/>
    </row>
    <row r="54" spans="1:13" ht="14.25" customHeight="1">
      <c r="A54" s="26" t="s">
        <v>197</v>
      </c>
      <c r="B54" s="26" t="s">
        <v>198</v>
      </c>
      <c r="C54" s="26" t="s">
        <v>199</v>
      </c>
      <c r="D54" s="26" t="s">
        <v>200</v>
      </c>
      <c r="E54" s="26" t="s">
        <v>201</v>
      </c>
      <c r="F54" s="26" t="s">
        <v>202</v>
      </c>
      <c r="G54" s="38"/>
      <c r="H54" s="27" t="s">
        <v>203</v>
      </c>
      <c r="I54" s="28" t="s">
        <v>204</v>
      </c>
      <c r="J54" s="28" t="s">
        <v>205</v>
      </c>
      <c r="K54" s="28" t="s">
        <v>187</v>
      </c>
      <c r="L54" s="28" t="s">
        <v>206</v>
      </c>
      <c r="M54" s="28" t="s">
        <v>207</v>
      </c>
    </row>
    <row r="55" spans="1:13" ht="27" customHeight="1">
      <c r="A55" s="39" t="s">
        <v>208</v>
      </c>
      <c r="B55" s="30"/>
      <c r="C55" s="30" t="s">
        <v>289</v>
      </c>
      <c r="D55" s="30" t="s">
        <v>290</v>
      </c>
      <c r="E55" s="30" t="s">
        <v>291</v>
      </c>
      <c r="F55" s="30" t="s">
        <v>292</v>
      </c>
      <c r="H55" s="31" t="s">
        <v>212</v>
      </c>
      <c r="I55" s="30">
        <v>22</v>
      </c>
      <c r="J55" s="30" t="s">
        <v>293</v>
      </c>
      <c r="K55" s="32" t="s">
        <v>294</v>
      </c>
      <c r="L55" s="30" t="s">
        <v>295</v>
      </c>
      <c r="M55" s="30" t="s">
        <v>296</v>
      </c>
    </row>
    <row r="56" spans="1:13" ht="27" customHeight="1">
      <c r="A56" s="40" t="s">
        <v>217</v>
      </c>
      <c r="B56" s="34"/>
      <c r="C56" s="34" t="s">
        <v>289</v>
      </c>
      <c r="D56" s="34" t="s">
        <v>290</v>
      </c>
      <c r="E56" s="34" t="s">
        <v>291</v>
      </c>
      <c r="F56" s="34" t="s">
        <v>292</v>
      </c>
      <c r="H56" s="35" t="s">
        <v>212</v>
      </c>
      <c r="I56" s="34">
        <v>23</v>
      </c>
      <c r="J56" s="34" t="s">
        <v>297</v>
      </c>
      <c r="K56" s="36" t="s">
        <v>298</v>
      </c>
      <c r="L56" s="34" t="s">
        <v>295</v>
      </c>
      <c r="M56" s="34" t="s">
        <v>299</v>
      </c>
    </row>
    <row r="57" spans="1:13" ht="27" customHeight="1">
      <c r="A57" s="40" t="s">
        <v>220</v>
      </c>
      <c r="B57" s="34" t="s">
        <v>300</v>
      </c>
      <c r="C57" s="34"/>
      <c r="D57" s="34" t="s">
        <v>300</v>
      </c>
      <c r="E57" s="34" t="s">
        <v>290</v>
      </c>
      <c r="F57" s="34" t="s">
        <v>293</v>
      </c>
      <c r="H57" s="35" t="s">
        <v>212</v>
      </c>
      <c r="I57" s="34">
        <v>24</v>
      </c>
      <c r="J57" s="34" t="s">
        <v>290</v>
      </c>
      <c r="K57" s="36" t="s">
        <v>301</v>
      </c>
      <c r="L57" s="34" t="s">
        <v>302</v>
      </c>
      <c r="M57" s="34" t="s">
        <v>296</v>
      </c>
    </row>
    <row r="58" spans="1:13" ht="27" customHeight="1">
      <c r="A58" s="40" t="s">
        <v>225</v>
      </c>
      <c r="B58" s="34" t="s">
        <v>300</v>
      </c>
      <c r="C58" s="34"/>
      <c r="D58" s="34" t="s">
        <v>300</v>
      </c>
      <c r="E58" s="34" t="s">
        <v>290</v>
      </c>
      <c r="F58" s="34" t="s">
        <v>293</v>
      </c>
      <c r="H58" s="35" t="s">
        <v>212</v>
      </c>
      <c r="I58" s="34">
        <v>25</v>
      </c>
      <c r="J58" s="34" t="s">
        <v>289</v>
      </c>
      <c r="K58" s="36" t="s">
        <v>303</v>
      </c>
      <c r="L58" s="34" t="s">
        <v>302</v>
      </c>
      <c r="M58" s="34" t="s">
        <v>258</v>
      </c>
    </row>
    <row r="59" spans="1:13" ht="27" customHeight="1">
      <c r="A59" s="40" t="s">
        <v>228</v>
      </c>
      <c r="B59" s="34" t="s">
        <v>293</v>
      </c>
      <c r="C59" s="34" t="s">
        <v>297</v>
      </c>
      <c r="D59" s="34" t="s">
        <v>292</v>
      </c>
      <c r="E59" s="34"/>
      <c r="F59" s="34" t="s">
        <v>291</v>
      </c>
      <c r="H59" s="35" t="s">
        <v>212</v>
      </c>
      <c r="I59" s="34">
        <v>26</v>
      </c>
      <c r="J59" s="34" t="s">
        <v>291</v>
      </c>
      <c r="K59" s="36" t="s">
        <v>304</v>
      </c>
      <c r="L59" s="34" t="s">
        <v>305</v>
      </c>
      <c r="M59" s="34" t="s">
        <v>296</v>
      </c>
    </row>
    <row r="60" spans="1:13" ht="27" customHeight="1">
      <c r="A60" s="40" t="s">
        <v>232</v>
      </c>
      <c r="B60" s="34" t="s">
        <v>293</v>
      </c>
      <c r="C60" s="34" t="s">
        <v>297</v>
      </c>
      <c r="D60" s="34" t="s">
        <v>292</v>
      </c>
      <c r="E60" s="34"/>
      <c r="F60" s="34" t="s">
        <v>291</v>
      </c>
      <c r="H60" s="35" t="s">
        <v>212</v>
      </c>
      <c r="I60" s="34">
        <v>27</v>
      </c>
      <c r="J60" s="34" t="s">
        <v>292</v>
      </c>
      <c r="K60" s="36" t="s">
        <v>306</v>
      </c>
      <c r="L60" s="34" t="s">
        <v>284</v>
      </c>
      <c r="M60" s="34" t="s">
        <v>296</v>
      </c>
    </row>
    <row r="61" spans="1:13" ht="14.25" customHeight="1">
      <c r="A61" s="40" t="s">
        <v>236</v>
      </c>
      <c r="B61" s="34" t="s">
        <v>307</v>
      </c>
      <c r="C61" s="34"/>
      <c r="D61" s="34"/>
      <c r="E61" s="34"/>
      <c r="F61" s="34"/>
      <c r="H61" s="35" t="s">
        <v>212</v>
      </c>
      <c r="I61" s="34">
        <v>28</v>
      </c>
      <c r="J61" s="34" t="s">
        <v>300</v>
      </c>
      <c r="K61" s="36" t="s">
        <v>308</v>
      </c>
      <c r="L61" s="34" t="s">
        <v>274</v>
      </c>
      <c r="M61" s="34" t="s">
        <v>296</v>
      </c>
    </row>
    <row r="62" spans="1:13" ht="14.25" customHeight="1">
      <c r="A62" s="40" t="s">
        <v>237</v>
      </c>
      <c r="B62" s="34" t="s">
        <v>307</v>
      </c>
      <c r="C62" s="34"/>
      <c r="D62" s="34"/>
      <c r="E62" s="34"/>
      <c r="F62" s="34"/>
      <c r="H62" s="35" t="s">
        <v>212</v>
      </c>
      <c r="I62" s="34">
        <v>64</v>
      </c>
      <c r="J62" s="34" t="s">
        <v>307</v>
      </c>
      <c r="K62" s="36" t="s">
        <v>309</v>
      </c>
      <c r="L62" s="34" t="s">
        <v>215</v>
      </c>
      <c r="M62" s="34" t="s">
        <v>296</v>
      </c>
    </row>
    <row r="63" spans="1:13" ht="14.25" customHeight="1">
      <c r="A63" s="40" t="s">
        <v>238</v>
      </c>
      <c r="B63" s="34" t="s">
        <v>307</v>
      </c>
      <c r="C63" s="34"/>
      <c r="D63" s="34"/>
      <c r="E63" s="34"/>
      <c r="F63" s="34"/>
      <c r="I63" s="25"/>
      <c r="J63" s="25"/>
      <c r="L63" s="25"/>
      <c r="M63" s="25"/>
    </row>
    <row r="64" spans="1:13" ht="14.25" customHeight="1">
      <c r="A64" s="40" t="s">
        <v>239</v>
      </c>
      <c r="B64" s="34" t="s">
        <v>307</v>
      </c>
      <c r="C64" s="34"/>
      <c r="D64" s="34"/>
      <c r="E64" s="34"/>
      <c r="F64" s="34"/>
      <c r="I64" s="25"/>
      <c r="J64" s="25"/>
      <c r="L64" s="25"/>
      <c r="M64" s="25"/>
    </row>
    <row r="65" spans="1:13" ht="14.25" customHeight="1">
      <c r="A65" s="40" t="s">
        <v>240</v>
      </c>
      <c r="B65" s="34"/>
      <c r="C65" s="34"/>
      <c r="D65" s="34"/>
      <c r="E65" s="34"/>
      <c r="F65" s="34"/>
      <c r="I65" s="25"/>
      <c r="J65" s="25"/>
      <c r="L65" s="25"/>
      <c r="M65" s="25"/>
    </row>
    <row r="66" spans="1:13" ht="14.25" customHeight="1">
      <c r="A66" s="40" t="s">
        <v>241</v>
      </c>
      <c r="B66" s="34"/>
      <c r="C66" s="34"/>
      <c r="D66" s="34"/>
      <c r="E66" s="34"/>
      <c r="F66" s="34"/>
      <c r="I66" s="25"/>
      <c r="J66" s="25"/>
      <c r="L66" s="25"/>
      <c r="M66" s="25"/>
    </row>
    <row r="67" spans="1:13" ht="14.25" customHeight="1">
      <c r="I67" s="25"/>
      <c r="J67" s="25"/>
      <c r="L67" s="25"/>
      <c r="M67" s="25"/>
    </row>
    <row r="68" spans="1:13" ht="14.25" customHeight="1">
      <c r="I68" s="25"/>
      <c r="J68" s="25"/>
      <c r="L68" s="25"/>
      <c r="M68" s="25"/>
    </row>
    <row r="69" spans="1:13" ht="14.25" customHeight="1">
      <c r="A69" s="180" t="s">
        <v>19</v>
      </c>
      <c r="B69" s="177"/>
      <c r="C69" s="177"/>
      <c r="D69" s="177"/>
      <c r="E69" s="177"/>
      <c r="F69" s="178"/>
      <c r="G69" s="37"/>
      <c r="H69" s="180" t="s">
        <v>310</v>
      </c>
      <c r="I69" s="177"/>
      <c r="J69" s="177"/>
      <c r="K69" s="177"/>
      <c r="L69" s="177"/>
      <c r="M69" s="178"/>
    </row>
    <row r="70" spans="1:13" ht="14.25" customHeight="1">
      <c r="A70" s="26" t="s">
        <v>197</v>
      </c>
      <c r="B70" s="26" t="s">
        <v>198</v>
      </c>
      <c r="C70" s="26" t="s">
        <v>199</v>
      </c>
      <c r="D70" s="26" t="s">
        <v>200</v>
      </c>
      <c r="E70" s="26" t="s">
        <v>201</v>
      </c>
      <c r="F70" s="26" t="s">
        <v>202</v>
      </c>
      <c r="G70" s="38"/>
      <c r="H70" s="27" t="s">
        <v>203</v>
      </c>
      <c r="I70" s="28" t="s">
        <v>204</v>
      </c>
      <c r="J70" s="28" t="s">
        <v>205</v>
      </c>
      <c r="K70" s="28" t="s">
        <v>187</v>
      </c>
      <c r="L70" s="28" t="s">
        <v>206</v>
      </c>
      <c r="M70" s="28" t="s">
        <v>207</v>
      </c>
    </row>
    <row r="71" spans="1:13" ht="27" customHeight="1">
      <c r="A71" s="39" t="s">
        <v>208</v>
      </c>
      <c r="B71" s="30"/>
      <c r="C71" s="30" t="s">
        <v>311</v>
      </c>
      <c r="D71" s="30" t="s">
        <v>312</v>
      </c>
      <c r="E71" s="30" t="s">
        <v>313</v>
      </c>
      <c r="F71" s="30" t="s">
        <v>314</v>
      </c>
      <c r="H71" s="31" t="s">
        <v>212</v>
      </c>
      <c r="I71" s="30">
        <v>29</v>
      </c>
      <c r="J71" s="30" t="s">
        <v>315</v>
      </c>
      <c r="K71" s="32" t="s">
        <v>316</v>
      </c>
      <c r="L71" s="30" t="s">
        <v>295</v>
      </c>
      <c r="M71" s="30" t="s">
        <v>317</v>
      </c>
    </row>
    <row r="72" spans="1:13" ht="27" customHeight="1">
      <c r="A72" s="40" t="s">
        <v>217</v>
      </c>
      <c r="B72" s="34"/>
      <c r="C72" s="34" t="s">
        <v>311</v>
      </c>
      <c r="D72" s="34" t="s">
        <v>312</v>
      </c>
      <c r="E72" s="34" t="s">
        <v>313</v>
      </c>
      <c r="F72" s="34" t="s">
        <v>314</v>
      </c>
      <c r="H72" s="35" t="s">
        <v>212</v>
      </c>
      <c r="I72" s="34">
        <v>30</v>
      </c>
      <c r="J72" s="34" t="s">
        <v>318</v>
      </c>
      <c r="K72" s="36" t="s">
        <v>319</v>
      </c>
      <c r="L72" s="34" t="s">
        <v>295</v>
      </c>
      <c r="M72" s="34" t="s">
        <v>299</v>
      </c>
    </row>
    <row r="73" spans="1:13" ht="27" customHeight="1">
      <c r="A73" s="40" t="s">
        <v>220</v>
      </c>
      <c r="B73" s="34" t="s">
        <v>315</v>
      </c>
      <c r="C73" s="34" t="s">
        <v>320</v>
      </c>
      <c r="D73" s="34" t="s">
        <v>318</v>
      </c>
      <c r="E73" s="34" t="s">
        <v>321</v>
      </c>
      <c r="F73" s="34"/>
      <c r="H73" s="35" t="s">
        <v>212</v>
      </c>
      <c r="I73" s="34">
        <v>31</v>
      </c>
      <c r="J73" s="34" t="s">
        <v>313</v>
      </c>
      <c r="K73" s="36" t="s">
        <v>322</v>
      </c>
      <c r="L73" s="34" t="s">
        <v>323</v>
      </c>
      <c r="M73" s="34" t="s">
        <v>317</v>
      </c>
    </row>
    <row r="74" spans="1:13" ht="27" customHeight="1">
      <c r="A74" s="40" t="s">
        <v>225</v>
      </c>
      <c r="B74" s="34" t="s">
        <v>315</v>
      </c>
      <c r="C74" s="34" t="s">
        <v>320</v>
      </c>
      <c r="D74" s="34" t="s">
        <v>318</v>
      </c>
      <c r="E74" s="34" t="s">
        <v>321</v>
      </c>
      <c r="F74" s="34"/>
      <c r="H74" s="35" t="s">
        <v>212</v>
      </c>
      <c r="I74" s="34">
        <v>32</v>
      </c>
      <c r="J74" s="34" t="s">
        <v>312</v>
      </c>
      <c r="K74" s="36" t="s">
        <v>324</v>
      </c>
      <c r="L74" s="34" t="s">
        <v>323</v>
      </c>
      <c r="M74" s="34" t="s">
        <v>299</v>
      </c>
    </row>
    <row r="75" spans="1:13" ht="27" customHeight="1">
      <c r="A75" s="40" t="s">
        <v>228</v>
      </c>
      <c r="B75" s="34"/>
      <c r="C75" s="34" t="s">
        <v>314</v>
      </c>
      <c r="D75" s="34"/>
      <c r="E75" s="34" t="s">
        <v>320</v>
      </c>
      <c r="F75" s="34"/>
      <c r="H75" s="35" t="s">
        <v>212</v>
      </c>
      <c r="I75" s="34">
        <v>33</v>
      </c>
      <c r="J75" s="34" t="s">
        <v>320</v>
      </c>
      <c r="K75" s="36" t="s">
        <v>325</v>
      </c>
      <c r="L75" s="34" t="s">
        <v>305</v>
      </c>
      <c r="M75" s="34" t="s">
        <v>326</v>
      </c>
    </row>
    <row r="76" spans="1:13" ht="27" customHeight="1">
      <c r="A76" s="40" t="s">
        <v>232</v>
      </c>
      <c r="B76" s="34"/>
      <c r="C76" s="34" t="s">
        <v>314</v>
      </c>
      <c r="D76" s="34"/>
      <c r="E76" s="34" t="s">
        <v>320</v>
      </c>
      <c r="F76" s="34"/>
      <c r="H76" s="35" t="s">
        <v>212</v>
      </c>
      <c r="I76" s="34">
        <v>34</v>
      </c>
      <c r="J76" s="34" t="s">
        <v>314</v>
      </c>
      <c r="K76" s="36" t="s">
        <v>327</v>
      </c>
      <c r="L76" s="34" t="s">
        <v>274</v>
      </c>
      <c r="M76" s="34" t="s">
        <v>299</v>
      </c>
    </row>
    <row r="77" spans="1:13" ht="14.25" customHeight="1">
      <c r="A77" s="40" t="s">
        <v>236</v>
      </c>
      <c r="B77" s="34" t="s">
        <v>328</v>
      </c>
      <c r="C77" s="34"/>
      <c r="D77" s="34"/>
      <c r="E77" s="34"/>
      <c r="F77" s="34"/>
      <c r="H77" s="35" t="s">
        <v>212</v>
      </c>
      <c r="I77" s="34">
        <v>35</v>
      </c>
      <c r="J77" s="34" t="s">
        <v>321</v>
      </c>
      <c r="K77" s="36" t="s">
        <v>329</v>
      </c>
      <c r="L77" s="34" t="s">
        <v>246</v>
      </c>
      <c r="M77" s="34" t="s">
        <v>317</v>
      </c>
    </row>
    <row r="78" spans="1:13" ht="14.25" customHeight="1">
      <c r="A78" s="40" t="s">
        <v>237</v>
      </c>
      <c r="B78" s="34" t="s">
        <v>328</v>
      </c>
      <c r="C78" s="34"/>
      <c r="D78" s="34"/>
      <c r="E78" s="34"/>
      <c r="F78" s="34"/>
      <c r="H78" s="35" t="s">
        <v>212</v>
      </c>
      <c r="I78" s="34">
        <v>36</v>
      </c>
      <c r="J78" s="34" t="s">
        <v>311</v>
      </c>
      <c r="K78" s="36" t="s">
        <v>330</v>
      </c>
      <c r="L78" s="34" t="s">
        <v>331</v>
      </c>
      <c r="M78" s="34" t="s">
        <v>317</v>
      </c>
    </row>
    <row r="79" spans="1:13" ht="14.25" customHeight="1">
      <c r="A79" s="40" t="s">
        <v>238</v>
      </c>
      <c r="B79" s="34" t="s">
        <v>328</v>
      </c>
      <c r="C79" s="34"/>
      <c r="D79" s="34"/>
      <c r="E79" s="34"/>
      <c r="F79" s="34"/>
      <c r="H79" s="35" t="s">
        <v>212</v>
      </c>
      <c r="I79" s="34">
        <v>65</v>
      </c>
      <c r="J79" s="34" t="s">
        <v>328</v>
      </c>
      <c r="K79" s="36" t="s">
        <v>332</v>
      </c>
      <c r="L79" s="34" t="s">
        <v>274</v>
      </c>
      <c r="M79" s="34" t="s">
        <v>317</v>
      </c>
    </row>
    <row r="80" spans="1:13" ht="14.25" customHeight="1">
      <c r="A80" s="40" t="s">
        <v>239</v>
      </c>
      <c r="B80" s="34" t="s">
        <v>328</v>
      </c>
      <c r="C80" s="34"/>
      <c r="D80" s="34"/>
      <c r="E80" s="34"/>
      <c r="F80" s="34"/>
      <c r="I80" s="25"/>
      <c r="J80" s="25"/>
      <c r="L80" s="25"/>
      <c r="M80" s="25"/>
    </row>
    <row r="81" spans="1:13" ht="14.25" customHeight="1">
      <c r="A81" s="40" t="s">
        <v>240</v>
      </c>
      <c r="B81" s="34"/>
      <c r="C81" s="34"/>
      <c r="D81" s="34"/>
      <c r="E81" s="34"/>
      <c r="F81" s="34"/>
      <c r="I81" s="25"/>
      <c r="J81" s="25"/>
      <c r="L81" s="25"/>
      <c r="M81" s="25"/>
    </row>
    <row r="82" spans="1:13" ht="14.25" customHeight="1">
      <c r="A82" s="40" t="s">
        <v>241</v>
      </c>
      <c r="B82" s="34"/>
      <c r="C82" s="34"/>
      <c r="D82" s="34"/>
      <c r="E82" s="34"/>
      <c r="F82" s="34"/>
      <c r="I82" s="25"/>
      <c r="J82" s="25"/>
      <c r="L82" s="25"/>
      <c r="M82" s="25"/>
    </row>
    <row r="83" spans="1:13" ht="14.25" customHeight="1">
      <c r="I83" s="25"/>
      <c r="J83" s="25"/>
      <c r="L83" s="25"/>
      <c r="M83" s="25"/>
    </row>
    <row r="84" spans="1:13" ht="14.25" customHeight="1">
      <c r="I84" s="25"/>
      <c r="J84" s="25"/>
      <c r="L84" s="25"/>
      <c r="M84" s="25"/>
    </row>
    <row r="85" spans="1:13" ht="14.25" customHeight="1">
      <c r="A85" s="180" t="s">
        <v>20</v>
      </c>
      <c r="B85" s="177"/>
      <c r="C85" s="177"/>
      <c r="D85" s="177"/>
      <c r="E85" s="177"/>
      <c r="F85" s="178"/>
      <c r="G85" s="37"/>
      <c r="H85" s="180" t="s">
        <v>333</v>
      </c>
      <c r="I85" s="177"/>
      <c r="J85" s="177"/>
      <c r="K85" s="177"/>
      <c r="L85" s="177"/>
      <c r="M85" s="178"/>
    </row>
    <row r="86" spans="1:13" ht="14.25" customHeight="1">
      <c r="A86" s="26" t="s">
        <v>197</v>
      </c>
      <c r="B86" s="26" t="s">
        <v>198</v>
      </c>
      <c r="C86" s="26" t="s">
        <v>199</v>
      </c>
      <c r="D86" s="26" t="s">
        <v>200</v>
      </c>
      <c r="E86" s="26" t="s">
        <v>201</v>
      </c>
      <c r="F86" s="26" t="s">
        <v>202</v>
      </c>
      <c r="G86" s="38"/>
      <c r="H86" s="27" t="s">
        <v>203</v>
      </c>
      <c r="I86" s="28" t="s">
        <v>204</v>
      </c>
      <c r="J86" s="28" t="s">
        <v>205</v>
      </c>
      <c r="K86" s="28" t="s">
        <v>187</v>
      </c>
      <c r="L86" s="28" t="s">
        <v>206</v>
      </c>
      <c r="M86" s="28" t="s">
        <v>207</v>
      </c>
    </row>
    <row r="87" spans="1:13" ht="27" customHeight="1">
      <c r="A87" s="39" t="s">
        <v>208</v>
      </c>
      <c r="B87" s="30" t="s">
        <v>334</v>
      </c>
      <c r="C87" s="30"/>
      <c r="D87" s="30" t="s">
        <v>335</v>
      </c>
      <c r="E87" s="30" t="s">
        <v>336</v>
      </c>
      <c r="F87" s="30"/>
      <c r="H87" s="31" t="s">
        <v>212</v>
      </c>
      <c r="I87" s="30">
        <v>37</v>
      </c>
      <c r="J87" s="30" t="s">
        <v>337</v>
      </c>
      <c r="K87" s="32" t="s">
        <v>338</v>
      </c>
      <c r="L87" s="30" t="s">
        <v>323</v>
      </c>
      <c r="M87" s="30" t="s">
        <v>299</v>
      </c>
    </row>
    <row r="88" spans="1:13" ht="27" customHeight="1">
      <c r="A88" s="40" t="s">
        <v>217</v>
      </c>
      <c r="B88" s="34" t="s">
        <v>334</v>
      </c>
      <c r="C88" s="34" t="s">
        <v>339</v>
      </c>
      <c r="D88" s="34" t="s">
        <v>335</v>
      </c>
      <c r="E88" s="34" t="s">
        <v>336</v>
      </c>
      <c r="F88" s="34" t="s">
        <v>340</v>
      </c>
      <c r="H88" s="35" t="s">
        <v>212</v>
      </c>
      <c r="I88" s="34">
        <v>38</v>
      </c>
      <c r="J88" s="34" t="s">
        <v>334</v>
      </c>
      <c r="K88" s="36" t="s">
        <v>341</v>
      </c>
      <c r="L88" s="34" t="s">
        <v>264</v>
      </c>
      <c r="M88" s="34" t="s">
        <v>235</v>
      </c>
    </row>
    <row r="89" spans="1:13" ht="27" customHeight="1">
      <c r="A89" s="40" t="s">
        <v>220</v>
      </c>
      <c r="B89" s="34" t="s">
        <v>334</v>
      </c>
      <c r="C89" s="34" t="s">
        <v>339</v>
      </c>
      <c r="D89" s="34" t="s">
        <v>342</v>
      </c>
      <c r="E89" s="34" t="s">
        <v>336</v>
      </c>
      <c r="F89" s="34" t="s">
        <v>340</v>
      </c>
      <c r="H89" s="35" t="s">
        <v>212</v>
      </c>
      <c r="I89" s="34">
        <v>39</v>
      </c>
      <c r="J89" s="34" t="s">
        <v>342</v>
      </c>
      <c r="K89" s="36" t="s">
        <v>343</v>
      </c>
      <c r="L89" s="34" t="s">
        <v>331</v>
      </c>
      <c r="M89" s="34" t="s">
        <v>326</v>
      </c>
    </row>
    <row r="90" spans="1:13" ht="27" customHeight="1">
      <c r="A90" s="40" t="s">
        <v>225</v>
      </c>
      <c r="B90" s="34" t="s">
        <v>334</v>
      </c>
      <c r="C90" s="34" t="s">
        <v>339</v>
      </c>
      <c r="D90" s="34" t="s">
        <v>335</v>
      </c>
      <c r="E90" s="34" t="s">
        <v>342</v>
      </c>
      <c r="F90" s="34" t="s">
        <v>337</v>
      </c>
      <c r="H90" s="35" t="s">
        <v>212</v>
      </c>
      <c r="I90" s="34">
        <v>40</v>
      </c>
      <c r="J90" s="34" t="s">
        <v>336</v>
      </c>
      <c r="K90" s="36" t="s">
        <v>344</v>
      </c>
      <c r="L90" s="34" t="s">
        <v>345</v>
      </c>
      <c r="M90" s="34" t="s">
        <v>326</v>
      </c>
    </row>
    <row r="91" spans="1:13" ht="27" customHeight="1">
      <c r="A91" s="40" t="s">
        <v>228</v>
      </c>
      <c r="B91" s="34" t="s">
        <v>336</v>
      </c>
      <c r="C91" s="34"/>
      <c r="D91" s="34"/>
      <c r="E91" s="34" t="s">
        <v>342</v>
      </c>
      <c r="F91" s="34" t="s">
        <v>337</v>
      </c>
      <c r="H91" s="35" t="s">
        <v>212</v>
      </c>
      <c r="I91" s="34">
        <v>41</v>
      </c>
      <c r="J91" s="34" t="s">
        <v>339</v>
      </c>
      <c r="K91" s="36" t="s">
        <v>346</v>
      </c>
      <c r="L91" s="34" t="s">
        <v>246</v>
      </c>
      <c r="M91" s="34" t="s">
        <v>347</v>
      </c>
    </row>
    <row r="92" spans="1:13" ht="27" customHeight="1">
      <c r="A92" s="40" t="s">
        <v>232</v>
      </c>
      <c r="B92" s="34" t="s">
        <v>336</v>
      </c>
      <c r="C92" s="34"/>
      <c r="D92" s="34"/>
      <c r="E92" s="34" t="s">
        <v>342</v>
      </c>
      <c r="F92" s="34" t="s">
        <v>337</v>
      </c>
      <c r="H92" s="35" t="s">
        <v>212</v>
      </c>
      <c r="I92" s="34">
        <v>42</v>
      </c>
      <c r="J92" s="34" t="s">
        <v>340</v>
      </c>
      <c r="K92" s="36" t="s">
        <v>348</v>
      </c>
      <c r="L92" s="34" t="s">
        <v>246</v>
      </c>
      <c r="M92" s="34" t="s">
        <v>251</v>
      </c>
    </row>
    <row r="93" spans="1:13" ht="14.25" customHeight="1">
      <c r="A93" s="40" t="s">
        <v>236</v>
      </c>
      <c r="B93" s="34" t="s">
        <v>349</v>
      </c>
      <c r="C93" s="34"/>
      <c r="D93" s="34"/>
      <c r="E93" s="34"/>
      <c r="F93" s="34"/>
      <c r="H93" s="35" t="s">
        <v>212</v>
      </c>
      <c r="I93" s="34">
        <v>43</v>
      </c>
      <c r="J93" s="34" t="s">
        <v>335</v>
      </c>
      <c r="K93" s="36" t="s">
        <v>350</v>
      </c>
      <c r="L93" s="34" t="s">
        <v>331</v>
      </c>
      <c r="M93" s="34" t="s">
        <v>326</v>
      </c>
    </row>
    <row r="94" spans="1:13" ht="14.25" customHeight="1">
      <c r="A94" s="40" t="s">
        <v>237</v>
      </c>
      <c r="B94" s="34" t="s">
        <v>349</v>
      </c>
      <c r="C94" s="34"/>
      <c r="D94" s="34"/>
      <c r="E94" s="34"/>
      <c r="F94" s="34"/>
      <c r="H94" s="35" t="s">
        <v>212</v>
      </c>
      <c r="I94" s="34">
        <v>66</v>
      </c>
      <c r="J94" s="34" t="s">
        <v>349</v>
      </c>
      <c r="K94" s="36" t="s">
        <v>351</v>
      </c>
      <c r="L94" s="34" t="s">
        <v>345</v>
      </c>
      <c r="M94" s="34" t="s">
        <v>347</v>
      </c>
    </row>
    <row r="95" spans="1:13" ht="14.25" customHeight="1">
      <c r="A95" s="40" t="s">
        <v>238</v>
      </c>
      <c r="B95" s="34" t="s">
        <v>349</v>
      </c>
      <c r="C95" s="34"/>
      <c r="D95" s="34"/>
      <c r="E95" s="34"/>
      <c r="F95" s="34"/>
      <c r="I95" s="25"/>
      <c r="J95" s="25"/>
      <c r="L95" s="25"/>
      <c r="M95" s="25"/>
    </row>
    <row r="96" spans="1:13" ht="14.25" customHeight="1">
      <c r="A96" s="40" t="s">
        <v>239</v>
      </c>
      <c r="B96" s="34" t="s">
        <v>349</v>
      </c>
      <c r="C96" s="34"/>
      <c r="D96" s="34"/>
      <c r="E96" s="34"/>
      <c r="F96" s="34"/>
      <c r="I96" s="25"/>
      <c r="J96" s="25"/>
      <c r="L96" s="25"/>
      <c r="M96" s="25"/>
    </row>
    <row r="97" spans="1:13" ht="14.25" customHeight="1">
      <c r="A97" s="40" t="s">
        <v>240</v>
      </c>
      <c r="B97" s="34"/>
      <c r="C97" s="34"/>
      <c r="D97" s="34"/>
      <c r="E97" s="34"/>
      <c r="F97" s="34"/>
      <c r="I97" s="25"/>
      <c r="J97" s="25"/>
      <c r="L97" s="25"/>
      <c r="M97" s="25"/>
    </row>
    <row r="98" spans="1:13" ht="14.25" customHeight="1">
      <c r="A98" s="40" t="s">
        <v>241</v>
      </c>
      <c r="B98" s="34"/>
      <c r="C98" s="34"/>
      <c r="D98" s="34"/>
      <c r="E98" s="34"/>
      <c r="F98" s="34"/>
      <c r="I98" s="25"/>
      <c r="J98" s="25"/>
      <c r="L98" s="25"/>
      <c r="M98" s="25"/>
    </row>
    <row r="99" spans="1:13" ht="14.25" customHeight="1">
      <c r="I99" s="25"/>
      <c r="J99" s="25"/>
      <c r="L99" s="25"/>
      <c r="M99" s="25"/>
    </row>
    <row r="100" spans="1:13" ht="14.25" customHeight="1">
      <c r="I100" s="25"/>
      <c r="J100" s="25"/>
      <c r="L100" s="25"/>
      <c r="M100" s="25"/>
    </row>
    <row r="101" spans="1:13" ht="14.25" customHeight="1">
      <c r="A101" s="180" t="s">
        <v>21</v>
      </c>
      <c r="B101" s="177"/>
      <c r="C101" s="177"/>
      <c r="D101" s="177"/>
      <c r="E101" s="177"/>
      <c r="F101" s="178"/>
      <c r="G101" s="37"/>
      <c r="H101" s="180" t="s">
        <v>352</v>
      </c>
      <c r="I101" s="177"/>
      <c r="J101" s="177"/>
      <c r="K101" s="177"/>
      <c r="L101" s="177"/>
      <c r="M101" s="178"/>
    </row>
    <row r="102" spans="1:13" ht="14.25" customHeight="1">
      <c r="A102" s="26" t="s">
        <v>197</v>
      </c>
      <c r="B102" s="26" t="s">
        <v>198</v>
      </c>
      <c r="C102" s="26" t="s">
        <v>199</v>
      </c>
      <c r="D102" s="26" t="s">
        <v>200</v>
      </c>
      <c r="E102" s="26" t="s">
        <v>201</v>
      </c>
      <c r="F102" s="26" t="s">
        <v>202</v>
      </c>
      <c r="G102" s="38"/>
      <c r="H102" s="27" t="s">
        <v>203</v>
      </c>
      <c r="I102" s="28" t="s">
        <v>204</v>
      </c>
      <c r="J102" s="28" t="s">
        <v>205</v>
      </c>
      <c r="K102" s="28" t="s">
        <v>187</v>
      </c>
      <c r="L102" s="28" t="s">
        <v>206</v>
      </c>
      <c r="M102" s="28" t="s">
        <v>207</v>
      </c>
    </row>
    <row r="103" spans="1:13" ht="27" customHeight="1">
      <c r="A103" s="39" t="s">
        <v>208</v>
      </c>
      <c r="B103" s="30" t="s">
        <v>353</v>
      </c>
      <c r="C103" s="30" t="s">
        <v>354</v>
      </c>
      <c r="D103" s="30"/>
      <c r="E103" s="30" t="s">
        <v>355</v>
      </c>
      <c r="F103" s="30" t="s">
        <v>354</v>
      </c>
      <c r="H103" s="31" t="s">
        <v>212</v>
      </c>
      <c r="I103" s="30">
        <v>44</v>
      </c>
      <c r="J103" s="30" t="s">
        <v>355</v>
      </c>
      <c r="K103" s="32" t="s">
        <v>356</v>
      </c>
      <c r="L103" s="30" t="s">
        <v>270</v>
      </c>
      <c r="M103" s="30" t="s">
        <v>299</v>
      </c>
    </row>
    <row r="104" spans="1:13" ht="27" customHeight="1">
      <c r="A104" s="40" t="s">
        <v>217</v>
      </c>
      <c r="B104" s="34" t="s">
        <v>353</v>
      </c>
      <c r="C104" s="34" t="s">
        <v>354</v>
      </c>
      <c r="D104" s="34"/>
      <c r="E104" s="34" t="s">
        <v>355</v>
      </c>
      <c r="F104" s="34" t="s">
        <v>354</v>
      </c>
      <c r="H104" s="35" t="s">
        <v>212</v>
      </c>
      <c r="I104" s="34">
        <v>45</v>
      </c>
      <c r="J104" s="34" t="s">
        <v>353</v>
      </c>
      <c r="K104" s="36" t="s">
        <v>357</v>
      </c>
      <c r="L104" s="34" t="s">
        <v>358</v>
      </c>
      <c r="M104" s="34" t="s">
        <v>359</v>
      </c>
    </row>
    <row r="105" spans="1:13" ht="27" customHeight="1">
      <c r="A105" s="40" t="s">
        <v>220</v>
      </c>
      <c r="B105" s="34" t="s">
        <v>360</v>
      </c>
      <c r="C105" s="34" t="s">
        <v>353</v>
      </c>
      <c r="D105" s="34"/>
      <c r="E105" s="34" t="s">
        <v>355</v>
      </c>
      <c r="F105" s="34" t="s">
        <v>361</v>
      </c>
      <c r="H105" s="35" t="s">
        <v>212</v>
      </c>
      <c r="I105" s="34">
        <v>46</v>
      </c>
      <c r="J105" s="34" t="s">
        <v>362</v>
      </c>
      <c r="K105" s="36" t="s">
        <v>363</v>
      </c>
      <c r="L105" s="34" t="s">
        <v>215</v>
      </c>
      <c r="M105" s="34" t="s">
        <v>359</v>
      </c>
    </row>
    <row r="106" spans="1:13" ht="27" customHeight="1">
      <c r="A106" s="40" t="s">
        <v>225</v>
      </c>
      <c r="B106" s="34" t="s">
        <v>360</v>
      </c>
      <c r="C106" s="34" t="s">
        <v>353</v>
      </c>
      <c r="D106" s="34"/>
      <c r="E106" s="34"/>
      <c r="F106" s="34" t="s">
        <v>361</v>
      </c>
      <c r="H106" s="35" t="s">
        <v>212</v>
      </c>
      <c r="I106" s="34">
        <v>47</v>
      </c>
      <c r="J106" s="34" t="s">
        <v>361</v>
      </c>
      <c r="K106" s="36" t="s">
        <v>364</v>
      </c>
      <c r="L106" s="34" t="s">
        <v>305</v>
      </c>
      <c r="M106" s="34" t="s">
        <v>326</v>
      </c>
    </row>
    <row r="107" spans="1:13" ht="27" customHeight="1">
      <c r="A107" s="40" t="s">
        <v>228</v>
      </c>
      <c r="B107" s="34" t="s">
        <v>360</v>
      </c>
      <c r="C107" s="34" t="s">
        <v>361</v>
      </c>
      <c r="D107" s="34"/>
      <c r="E107" s="34" t="s">
        <v>362</v>
      </c>
      <c r="F107" s="34"/>
      <c r="H107" s="35" t="s">
        <v>212</v>
      </c>
      <c r="I107" s="34">
        <v>48</v>
      </c>
      <c r="J107" s="34" t="s">
        <v>354</v>
      </c>
      <c r="K107" s="36" t="s">
        <v>365</v>
      </c>
      <c r="L107" s="34" t="s">
        <v>323</v>
      </c>
      <c r="M107" s="34" t="s">
        <v>326</v>
      </c>
    </row>
    <row r="108" spans="1:13" ht="27" customHeight="1">
      <c r="A108" s="40" t="s">
        <v>232</v>
      </c>
      <c r="B108" s="34" t="s">
        <v>360</v>
      </c>
      <c r="C108" s="34" t="s">
        <v>361</v>
      </c>
      <c r="D108" s="34"/>
      <c r="E108" s="34" t="s">
        <v>362</v>
      </c>
      <c r="F108" s="34"/>
      <c r="H108" s="35" t="s">
        <v>212</v>
      </c>
      <c r="I108" s="34">
        <v>49</v>
      </c>
      <c r="J108" s="34" t="s">
        <v>360</v>
      </c>
      <c r="K108" s="36" t="s">
        <v>366</v>
      </c>
      <c r="L108" s="34" t="s">
        <v>367</v>
      </c>
      <c r="M108" s="34" t="s">
        <v>326</v>
      </c>
    </row>
    <row r="109" spans="1:13" ht="14.25" customHeight="1">
      <c r="A109" s="40" t="s">
        <v>236</v>
      </c>
      <c r="B109" s="34" t="s">
        <v>368</v>
      </c>
      <c r="C109" s="34"/>
      <c r="D109" s="34"/>
      <c r="E109" s="34"/>
      <c r="F109" s="34"/>
      <c r="H109" s="35" t="s">
        <v>212</v>
      </c>
      <c r="I109" s="34">
        <v>67</v>
      </c>
      <c r="J109" s="34" t="s">
        <v>368</v>
      </c>
      <c r="K109" s="36" t="s">
        <v>369</v>
      </c>
      <c r="L109" s="34" t="s">
        <v>358</v>
      </c>
      <c r="M109" s="34" t="s">
        <v>359</v>
      </c>
    </row>
    <row r="110" spans="1:13" ht="14.25" customHeight="1">
      <c r="A110" s="40" t="s">
        <v>237</v>
      </c>
      <c r="B110" s="34" t="s">
        <v>368</v>
      </c>
      <c r="C110" s="34"/>
      <c r="D110" s="34"/>
      <c r="E110" s="34"/>
      <c r="F110" s="34"/>
      <c r="I110" s="25"/>
      <c r="J110" s="25"/>
      <c r="L110" s="25"/>
      <c r="M110" s="25"/>
    </row>
    <row r="111" spans="1:13" ht="14.25" customHeight="1">
      <c r="A111" s="40" t="s">
        <v>238</v>
      </c>
      <c r="B111" s="34" t="s">
        <v>368</v>
      </c>
      <c r="C111" s="34"/>
      <c r="D111" s="34"/>
      <c r="E111" s="34"/>
      <c r="F111" s="34"/>
      <c r="I111" s="25"/>
      <c r="J111" s="25"/>
      <c r="L111" s="25"/>
      <c r="M111" s="25"/>
    </row>
    <row r="112" spans="1:13" ht="14.25" customHeight="1">
      <c r="A112" s="40" t="s">
        <v>239</v>
      </c>
      <c r="B112" s="34" t="s">
        <v>368</v>
      </c>
      <c r="C112" s="34"/>
      <c r="D112" s="34"/>
      <c r="E112" s="34"/>
      <c r="F112" s="34"/>
      <c r="I112" s="25"/>
      <c r="J112" s="25"/>
      <c r="L112" s="25"/>
      <c r="M112" s="25"/>
    </row>
    <row r="113" spans="1:13" ht="14.25" customHeight="1">
      <c r="A113" s="40" t="s">
        <v>240</v>
      </c>
      <c r="B113" s="34"/>
      <c r="C113" s="34"/>
      <c r="D113" s="34"/>
      <c r="E113" s="34"/>
      <c r="F113" s="34"/>
      <c r="I113" s="25"/>
      <c r="J113" s="25"/>
      <c r="L113" s="25"/>
      <c r="M113" s="25"/>
    </row>
    <row r="114" spans="1:13" ht="14.25" customHeight="1">
      <c r="A114" s="40" t="s">
        <v>241</v>
      </c>
      <c r="B114" s="34"/>
      <c r="C114" s="34"/>
      <c r="D114" s="34"/>
      <c r="E114" s="34"/>
      <c r="F114" s="34"/>
      <c r="I114" s="25"/>
      <c r="J114" s="25"/>
      <c r="L114" s="25"/>
      <c r="M114" s="25"/>
    </row>
    <row r="115" spans="1:13" ht="14.25" customHeight="1">
      <c r="I115" s="25"/>
      <c r="J115" s="25"/>
      <c r="L115" s="25"/>
      <c r="M115" s="25"/>
    </row>
    <row r="116" spans="1:13" ht="14.25" customHeight="1">
      <c r="I116" s="25"/>
      <c r="J116" s="25"/>
      <c r="L116" s="25"/>
      <c r="M116" s="25"/>
    </row>
    <row r="117" spans="1:13" ht="14.25" customHeight="1">
      <c r="A117" s="176" t="s">
        <v>22</v>
      </c>
      <c r="B117" s="177"/>
      <c r="C117" s="177"/>
      <c r="D117" s="177"/>
      <c r="E117" s="177"/>
      <c r="F117" s="178"/>
      <c r="G117" s="37"/>
      <c r="H117" s="176" t="s">
        <v>370</v>
      </c>
      <c r="I117" s="177"/>
      <c r="J117" s="177"/>
      <c r="K117" s="177"/>
      <c r="L117" s="177"/>
      <c r="M117" s="178"/>
    </row>
    <row r="118" spans="1:13" ht="14.25" customHeight="1">
      <c r="A118" s="26" t="s">
        <v>197</v>
      </c>
      <c r="B118" s="26" t="s">
        <v>198</v>
      </c>
      <c r="C118" s="26" t="s">
        <v>199</v>
      </c>
      <c r="D118" s="26" t="s">
        <v>200</v>
      </c>
      <c r="E118" s="26" t="s">
        <v>201</v>
      </c>
      <c r="F118" s="26" t="s">
        <v>202</v>
      </c>
      <c r="G118" s="38"/>
      <c r="H118" s="27" t="s">
        <v>203</v>
      </c>
      <c r="I118" s="28" t="s">
        <v>204</v>
      </c>
      <c r="J118" s="28" t="s">
        <v>205</v>
      </c>
      <c r="K118" s="28" t="s">
        <v>187</v>
      </c>
      <c r="L118" s="28" t="s">
        <v>206</v>
      </c>
      <c r="M118" s="28" t="s">
        <v>207</v>
      </c>
    </row>
    <row r="119" spans="1:13" ht="27" customHeight="1">
      <c r="A119" s="41" t="s">
        <v>208</v>
      </c>
      <c r="B119" s="30" t="s">
        <v>371</v>
      </c>
      <c r="C119" s="30" t="s">
        <v>372</v>
      </c>
      <c r="D119" s="30"/>
      <c r="E119" s="30" t="s">
        <v>373</v>
      </c>
      <c r="F119" s="30"/>
      <c r="H119" s="31" t="s">
        <v>212</v>
      </c>
      <c r="I119" s="30">
        <v>50</v>
      </c>
      <c r="J119" s="30" t="s">
        <v>371</v>
      </c>
      <c r="K119" s="32" t="s">
        <v>374</v>
      </c>
      <c r="L119" s="30" t="s">
        <v>367</v>
      </c>
      <c r="M119" s="30" t="s">
        <v>326</v>
      </c>
    </row>
    <row r="120" spans="1:13" ht="27" customHeight="1">
      <c r="A120" s="42" t="s">
        <v>217</v>
      </c>
      <c r="B120" s="34" t="s">
        <v>371</v>
      </c>
      <c r="C120" s="34" t="s">
        <v>372</v>
      </c>
      <c r="D120" s="34" t="s">
        <v>375</v>
      </c>
      <c r="E120" s="34" t="s">
        <v>373</v>
      </c>
      <c r="F120" s="34"/>
      <c r="H120" s="35" t="s">
        <v>212</v>
      </c>
      <c r="I120" s="34">
        <v>51</v>
      </c>
      <c r="J120" s="34" t="s">
        <v>375</v>
      </c>
      <c r="K120" s="36" t="s">
        <v>376</v>
      </c>
      <c r="L120" s="34" t="s">
        <v>215</v>
      </c>
      <c r="M120" s="34" t="s">
        <v>326</v>
      </c>
    </row>
    <row r="121" spans="1:13" ht="27" customHeight="1">
      <c r="A121" s="42" t="s">
        <v>220</v>
      </c>
      <c r="B121" s="34" t="s">
        <v>372</v>
      </c>
      <c r="C121" s="34" t="s">
        <v>375</v>
      </c>
      <c r="D121" s="34" t="s">
        <v>375</v>
      </c>
      <c r="E121" s="34" t="s">
        <v>373</v>
      </c>
      <c r="F121" s="34"/>
      <c r="H121" s="35" t="s">
        <v>212</v>
      </c>
      <c r="I121" s="34">
        <v>52</v>
      </c>
      <c r="J121" s="34" t="s">
        <v>377</v>
      </c>
      <c r="K121" s="36" t="s">
        <v>378</v>
      </c>
      <c r="L121" s="34" t="s">
        <v>331</v>
      </c>
      <c r="M121" s="34" t="s">
        <v>326</v>
      </c>
    </row>
    <row r="122" spans="1:13" ht="27" customHeight="1">
      <c r="A122" s="42" t="s">
        <v>225</v>
      </c>
      <c r="B122" s="34" t="s">
        <v>372</v>
      </c>
      <c r="C122" s="34" t="s">
        <v>375</v>
      </c>
      <c r="D122" s="34" t="s">
        <v>375</v>
      </c>
      <c r="E122" s="34" t="s">
        <v>379</v>
      </c>
      <c r="F122" s="34"/>
      <c r="H122" s="35" t="s">
        <v>212</v>
      </c>
      <c r="I122" s="34">
        <v>53</v>
      </c>
      <c r="J122" s="34" t="s">
        <v>379</v>
      </c>
      <c r="K122" s="36" t="s">
        <v>380</v>
      </c>
      <c r="L122" s="34" t="s">
        <v>345</v>
      </c>
      <c r="M122" s="34" t="s">
        <v>381</v>
      </c>
    </row>
    <row r="123" spans="1:13" ht="27" customHeight="1">
      <c r="A123" s="42" t="s">
        <v>228</v>
      </c>
      <c r="B123" s="34"/>
      <c r="C123" s="34" t="s">
        <v>373</v>
      </c>
      <c r="D123" s="34" t="s">
        <v>377</v>
      </c>
      <c r="E123" s="34" t="s">
        <v>379</v>
      </c>
      <c r="F123" s="34"/>
      <c r="H123" s="35" t="s">
        <v>212</v>
      </c>
      <c r="I123" s="34">
        <v>54</v>
      </c>
      <c r="J123" s="34" t="s">
        <v>373</v>
      </c>
      <c r="K123" s="36" t="s">
        <v>382</v>
      </c>
      <c r="L123" s="34" t="s">
        <v>367</v>
      </c>
      <c r="M123" s="34" t="s">
        <v>326</v>
      </c>
    </row>
    <row r="124" spans="1:13" ht="27" customHeight="1">
      <c r="A124" s="42" t="s">
        <v>232</v>
      </c>
      <c r="B124" s="34"/>
      <c r="C124" s="34" t="s">
        <v>371</v>
      </c>
      <c r="D124" s="34" t="s">
        <v>377</v>
      </c>
      <c r="E124" s="34" t="s">
        <v>379</v>
      </c>
      <c r="F124" s="34"/>
      <c r="H124" s="35" t="s">
        <v>212</v>
      </c>
      <c r="I124" s="34">
        <v>55</v>
      </c>
      <c r="J124" s="34" t="s">
        <v>372</v>
      </c>
      <c r="K124" s="36" t="s">
        <v>383</v>
      </c>
      <c r="L124" s="34" t="s">
        <v>358</v>
      </c>
      <c r="M124" s="34" t="s">
        <v>326</v>
      </c>
    </row>
    <row r="125" spans="1:13" ht="14.25" customHeight="1">
      <c r="A125" s="42" t="s">
        <v>236</v>
      </c>
      <c r="B125" s="34" t="s">
        <v>384</v>
      </c>
      <c r="C125" s="34"/>
      <c r="D125" s="34"/>
      <c r="E125" s="34"/>
      <c r="F125" s="34"/>
      <c r="H125" s="35" t="s">
        <v>212</v>
      </c>
      <c r="I125" s="34">
        <v>68</v>
      </c>
      <c r="J125" s="34" t="s">
        <v>384</v>
      </c>
      <c r="K125" s="36" t="s">
        <v>385</v>
      </c>
      <c r="L125" s="34" t="s">
        <v>295</v>
      </c>
      <c r="M125" s="34" t="s">
        <v>381</v>
      </c>
    </row>
    <row r="126" spans="1:13" ht="14.25" customHeight="1">
      <c r="A126" s="42" t="s">
        <v>237</v>
      </c>
      <c r="B126" s="34" t="s">
        <v>384</v>
      </c>
      <c r="C126" s="34"/>
      <c r="D126" s="34"/>
      <c r="E126" s="34"/>
      <c r="F126" s="34"/>
      <c r="I126" s="25"/>
      <c r="J126" s="25"/>
      <c r="L126" s="25"/>
      <c r="M126" s="25"/>
    </row>
    <row r="127" spans="1:13" ht="14.25" customHeight="1">
      <c r="A127" s="42" t="s">
        <v>238</v>
      </c>
      <c r="B127" s="34" t="s">
        <v>384</v>
      </c>
      <c r="C127" s="34"/>
      <c r="D127" s="34"/>
      <c r="E127" s="34"/>
      <c r="F127" s="34"/>
      <c r="I127" s="25"/>
      <c r="J127" s="25"/>
      <c r="L127" s="25"/>
      <c r="M127" s="25"/>
    </row>
    <row r="128" spans="1:13" ht="14.25" customHeight="1">
      <c r="A128" s="42" t="s">
        <v>239</v>
      </c>
      <c r="B128" s="34" t="s">
        <v>384</v>
      </c>
      <c r="C128" s="34"/>
      <c r="D128" s="34"/>
      <c r="E128" s="34"/>
      <c r="F128" s="34"/>
      <c r="I128" s="25"/>
      <c r="J128" s="25"/>
      <c r="L128" s="25"/>
      <c r="M128" s="25"/>
    </row>
    <row r="129" spans="1:13" ht="14.25" customHeight="1">
      <c r="A129" s="42" t="s">
        <v>240</v>
      </c>
      <c r="B129" s="34"/>
      <c r="C129" s="34"/>
      <c r="D129" s="34"/>
      <c r="E129" s="34"/>
      <c r="F129" s="34"/>
      <c r="I129" s="25"/>
      <c r="J129" s="25"/>
      <c r="L129" s="25"/>
      <c r="M129" s="25"/>
    </row>
    <row r="130" spans="1:13" ht="14.25" customHeight="1">
      <c r="A130" s="42" t="s">
        <v>241</v>
      </c>
      <c r="B130" s="34"/>
      <c r="C130" s="34"/>
      <c r="D130" s="34"/>
      <c r="E130" s="34"/>
      <c r="F130" s="34"/>
      <c r="I130" s="25"/>
      <c r="J130" s="25"/>
      <c r="L130" s="25"/>
      <c r="M130" s="25"/>
    </row>
    <row r="131" spans="1:13" ht="14.25" customHeight="1">
      <c r="I131" s="25"/>
      <c r="J131" s="25"/>
      <c r="L131" s="25"/>
      <c r="M131" s="25"/>
    </row>
    <row r="132" spans="1:13" ht="14.25" customHeight="1">
      <c r="I132" s="25"/>
      <c r="J132" s="25"/>
      <c r="L132" s="25"/>
      <c r="M132" s="25"/>
    </row>
    <row r="133" spans="1:13" ht="14.25" customHeight="1">
      <c r="A133" s="176" t="s">
        <v>23</v>
      </c>
      <c r="B133" s="177"/>
      <c r="C133" s="177"/>
      <c r="D133" s="177"/>
      <c r="E133" s="177"/>
      <c r="F133" s="178"/>
      <c r="G133" s="37"/>
      <c r="H133" s="176" t="s">
        <v>386</v>
      </c>
      <c r="I133" s="177"/>
      <c r="J133" s="177"/>
      <c r="K133" s="177"/>
      <c r="L133" s="177"/>
      <c r="M133" s="178"/>
    </row>
    <row r="134" spans="1:13" ht="14.25" customHeight="1">
      <c r="A134" s="26" t="s">
        <v>197</v>
      </c>
      <c r="B134" s="26" t="s">
        <v>198</v>
      </c>
      <c r="C134" s="26" t="s">
        <v>199</v>
      </c>
      <c r="D134" s="26" t="s">
        <v>200</v>
      </c>
      <c r="E134" s="26" t="s">
        <v>201</v>
      </c>
      <c r="F134" s="26" t="s">
        <v>202</v>
      </c>
      <c r="G134" s="38"/>
      <c r="H134" s="27" t="s">
        <v>203</v>
      </c>
      <c r="I134" s="28" t="s">
        <v>204</v>
      </c>
      <c r="J134" s="28" t="s">
        <v>205</v>
      </c>
      <c r="K134" s="28" t="s">
        <v>187</v>
      </c>
      <c r="L134" s="28" t="s">
        <v>206</v>
      </c>
      <c r="M134" s="28" t="s">
        <v>207</v>
      </c>
    </row>
    <row r="135" spans="1:13" ht="27" customHeight="1">
      <c r="A135" s="41" t="s">
        <v>208</v>
      </c>
      <c r="B135" s="30" t="s">
        <v>387</v>
      </c>
      <c r="C135" s="30" t="s">
        <v>388</v>
      </c>
      <c r="D135" s="30" t="s">
        <v>389</v>
      </c>
      <c r="E135" s="30"/>
      <c r="F135" s="30" t="s">
        <v>390</v>
      </c>
      <c r="H135" s="31" t="s">
        <v>212</v>
      </c>
      <c r="I135" s="30">
        <v>56</v>
      </c>
      <c r="J135" s="30" t="s">
        <v>391</v>
      </c>
      <c r="K135" s="32" t="s">
        <v>392</v>
      </c>
      <c r="L135" s="30" t="s">
        <v>215</v>
      </c>
      <c r="M135" s="30" t="s">
        <v>393</v>
      </c>
    </row>
    <row r="136" spans="1:13" ht="27" customHeight="1">
      <c r="A136" s="42" t="s">
        <v>217</v>
      </c>
      <c r="B136" s="34" t="s">
        <v>387</v>
      </c>
      <c r="C136" s="34" t="s">
        <v>388</v>
      </c>
      <c r="D136" s="34" t="s">
        <v>389</v>
      </c>
      <c r="E136" s="34"/>
      <c r="F136" s="34" t="s">
        <v>390</v>
      </c>
      <c r="H136" s="35" t="s">
        <v>212</v>
      </c>
      <c r="I136" s="34">
        <v>57</v>
      </c>
      <c r="J136" s="34" t="s">
        <v>388</v>
      </c>
      <c r="K136" s="36" t="s">
        <v>394</v>
      </c>
      <c r="L136" s="34" t="s">
        <v>395</v>
      </c>
      <c r="M136" s="34" t="s">
        <v>393</v>
      </c>
    </row>
    <row r="137" spans="1:13" ht="27" customHeight="1">
      <c r="A137" s="42" t="s">
        <v>220</v>
      </c>
      <c r="B137" s="34" t="s">
        <v>387</v>
      </c>
      <c r="C137" s="34" t="s">
        <v>388</v>
      </c>
      <c r="D137" s="34" t="s">
        <v>389</v>
      </c>
      <c r="E137" s="34" t="s">
        <v>391</v>
      </c>
      <c r="F137" s="34" t="s">
        <v>390</v>
      </c>
      <c r="H137" s="35" t="s">
        <v>212</v>
      </c>
      <c r="I137" s="34">
        <v>58</v>
      </c>
      <c r="J137" s="34" t="s">
        <v>389</v>
      </c>
      <c r="K137" s="36" t="s">
        <v>396</v>
      </c>
      <c r="L137" s="34" t="s">
        <v>397</v>
      </c>
      <c r="M137" s="34" t="s">
        <v>393</v>
      </c>
    </row>
    <row r="138" spans="1:13" ht="27" customHeight="1">
      <c r="A138" s="42" t="s">
        <v>225</v>
      </c>
      <c r="B138" s="34" t="s">
        <v>387</v>
      </c>
      <c r="C138" s="34" t="s">
        <v>398</v>
      </c>
      <c r="D138" s="34" t="s">
        <v>389</v>
      </c>
      <c r="E138" s="34" t="s">
        <v>391</v>
      </c>
      <c r="F138" s="34"/>
      <c r="H138" s="35" t="s">
        <v>212</v>
      </c>
      <c r="I138" s="34">
        <v>59</v>
      </c>
      <c r="J138" s="34" t="s">
        <v>390</v>
      </c>
      <c r="K138" s="36" t="s">
        <v>399</v>
      </c>
      <c r="L138" s="34" t="s">
        <v>400</v>
      </c>
      <c r="M138" s="34" t="s">
        <v>401</v>
      </c>
    </row>
    <row r="139" spans="1:13" ht="27" customHeight="1">
      <c r="A139" s="42" t="s">
        <v>228</v>
      </c>
      <c r="B139" s="34" t="s">
        <v>387</v>
      </c>
      <c r="C139" s="34" t="s">
        <v>398</v>
      </c>
      <c r="D139" s="34"/>
      <c r="E139" s="34"/>
      <c r="F139" s="34"/>
      <c r="H139" s="35" t="s">
        <v>212</v>
      </c>
      <c r="I139" s="34">
        <v>60</v>
      </c>
      <c r="J139" s="34" t="s">
        <v>398</v>
      </c>
      <c r="K139" s="36" t="s">
        <v>402</v>
      </c>
      <c r="L139" s="34" t="s">
        <v>395</v>
      </c>
      <c r="M139" s="34" t="s">
        <v>393</v>
      </c>
    </row>
    <row r="140" spans="1:13" ht="27" customHeight="1">
      <c r="A140" s="42" t="s">
        <v>232</v>
      </c>
      <c r="B140" s="34" t="s">
        <v>387</v>
      </c>
      <c r="C140" s="34" t="s">
        <v>398</v>
      </c>
      <c r="D140" s="34"/>
      <c r="E140" s="34"/>
      <c r="F140" s="34"/>
      <c r="H140" s="35" t="s">
        <v>212</v>
      </c>
      <c r="I140" s="34">
        <v>69</v>
      </c>
      <c r="J140" s="34" t="s">
        <v>387</v>
      </c>
      <c r="K140" s="36" t="s">
        <v>403</v>
      </c>
      <c r="L140" s="34" t="s">
        <v>323</v>
      </c>
      <c r="M140" s="34" t="s">
        <v>404</v>
      </c>
    </row>
    <row r="141" spans="1:13" ht="14.25" customHeight="1">
      <c r="A141" s="42" t="s">
        <v>236</v>
      </c>
      <c r="B141" s="34"/>
      <c r="C141" s="34"/>
      <c r="D141" s="34"/>
      <c r="E141" s="34"/>
      <c r="F141" s="34"/>
      <c r="I141" s="25"/>
      <c r="J141" s="25"/>
      <c r="L141" s="25"/>
      <c r="M141" s="25"/>
    </row>
    <row r="142" spans="1:13" ht="14.25" customHeight="1">
      <c r="A142" s="42" t="s">
        <v>237</v>
      </c>
      <c r="B142" s="34"/>
      <c r="C142" s="34"/>
      <c r="D142" s="34"/>
      <c r="E142" s="34"/>
      <c r="F142" s="34"/>
      <c r="I142" s="25"/>
      <c r="J142" s="25"/>
      <c r="L142" s="25"/>
      <c r="M142" s="25"/>
    </row>
    <row r="143" spans="1:13" ht="14.25" customHeight="1">
      <c r="A143" s="42" t="s">
        <v>238</v>
      </c>
      <c r="B143" s="34"/>
      <c r="C143" s="34"/>
      <c r="D143" s="34"/>
      <c r="E143" s="34"/>
      <c r="F143" s="34"/>
      <c r="I143" s="25"/>
      <c r="J143" s="25"/>
      <c r="L143" s="25"/>
      <c r="M143" s="25"/>
    </row>
    <row r="144" spans="1:13" ht="14.25" customHeight="1">
      <c r="A144" s="42" t="s">
        <v>239</v>
      </c>
      <c r="B144" s="34"/>
      <c r="C144" s="34"/>
      <c r="D144" s="34"/>
      <c r="E144" s="34"/>
      <c r="F144" s="34"/>
      <c r="I144" s="25"/>
      <c r="J144" s="25"/>
      <c r="L144" s="25"/>
      <c r="M144" s="25"/>
    </row>
    <row r="145" spans="1:13" ht="14.25" customHeight="1">
      <c r="A145" s="42" t="s">
        <v>240</v>
      </c>
      <c r="B145" s="34"/>
      <c r="C145" s="34"/>
      <c r="D145" s="34"/>
      <c r="E145" s="34"/>
      <c r="F145" s="34"/>
      <c r="I145" s="25"/>
      <c r="J145" s="25"/>
      <c r="L145" s="25"/>
      <c r="M145" s="25"/>
    </row>
    <row r="146" spans="1:13" ht="14.25" customHeight="1">
      <c r="A146" s="42" t="s">
        <v>241</v>
      </c>
      <c r="B146" s="34"/>
      <c r="C146" s="34"/>
      <c r="D146" s="34"/>
      <c r="E146" s="34"/>
      <c r="F146" s="34"/>
      <c r="I146" s="25"/>
      <c r="J146" s="25"/>
      <c r="L146" s="25"/>
      <c r="M146" s="25"/>
    </row>
    <row r="147" spans="1:13" ht="14.25" customHeight="1">
      <c r="I147" s="25"/>
      <c r="J147" s="25"/>
      <c r="L147" s="25"/>
      <c r="M147" s="25"/>
    </row>
    <row r="148" spans="1:13" ht="14.25" customHeight="1">
      <c r="I148" s="25"/>
      <c r="J148" s="25"/>
      <c r="L148" s="25"/>
      <c r="M148" s="25"/>
    </row>
    <row r="149" spans="1:13" ht="14.25" customHeight="1">
      <c r="A149" s="179" t="s">
        <v>405</v>
      </c>
      <c r="B149" s="177"/>
      <c r="C149" s="177"/>
      <c r="D149" s="177"/>
      <c r="E149" s="177"/>
      <c r="F149" s="178"/>
      <c r="G149" s="37"/>
      <c r="H149" s="179" t="s">
        <v>406</v>
      </c>
      <c r="I149" s="177"/>
      <c r="J149" s="177"/>
      <c r="K149" s="177"/>
      <c r="L149" s="177"/>
      <c r="M149" s="178"/>
    </row>
    <row r="150" spans="1:13" ht="14.25" customHeight="1">
      <c r="A150" s="26" t="s">
        <v>197</v>
      </c>
      <c r="B150" s="26" t="s">
        <v>198</v>
      </c>
      <c r="C150" s="26" t="s">
        <v>199</v>
      </c>
      <c r="D150" s="26" t="s">
        <v>200</v>
      </c>
      <c r="E150" s="26" t="s">
        <v>201</v>
      </c>
      <c r="F150" s="26" t="s">
        <v>202</v>
      </c>
      <c r="G150" s="38"/>
      <c r="H150" s="27" t="s">
        <v>203</v>
      </c>
      <c r="I150" s="28" t="s">
        <v>204</v>
      </c>
      <c r="J150" s="28" t="s">
        <v>205</v>
      </c>
      <c r="K150" s="28" t="s">
        <v>187</v>
      </c>
      <c r="L150" s="28" t="s">
        <v>206</v>
      </c>
      <c r="M150" s="28" t="s">
        <v>207</v>
      </c>
    </row>
    <row r="151" spans="1:13" ht="27" customHeight="1">
      <c r="A151" s="43" t="s">
        <v>208</v>
      </c>
      <c r="B151" s="30" t="s">
        <v>407</v>
      </c>
      <c r="C151" s="30"/>
      <c r="D151" s="30"/>
      <c r="E151" s="30"/>
      <c r="F151" s="30"/>
      <c r="H151" s="31" t="s">
        <v>212</v>
      </c>
      <c r="I151" s="30">
        <v>61</v>
      </c>
      <c r="J151" s="30" t="s">
        <v>407</v>
      </c>
      <c r="K151" s="32" t="s">
        <v>408</v>
      </c>
      <c r="L151" s="30" t="s">
        <v>397</v>
      </c>
      <c r="M151" s="30" t="s">
        <v>401</v>
      </c>
    </row>
    <row r="152" spans="1:13" ht="27" customHeight="1">
      <c r="A152" s="44" t="s">
        <v>217</v>
      </c>
      <c r="B152" s="34" t="s">
        <v>407</v>
      </c>
      <c r="C152" s="34"/>
      <c r="D152" s="34"/>
      <c r="E152" s="34"/>
      <c r="F152" s="34"/>
      <c r="I152" s="25"/>
      <c r="J152" s="25"/>
      <c r="L152" s="25"/>
      <c r="M152" s="25"/>
    </row>
    <row r="153" spans="1:13" ht="27" customHeight="1">
      <c r="A153" s="44" t="s">
        <v>220</v>
      </c>
      <c r="B153" s="34" t="s">
        <v>407</v>
      </c>
      <c r="C153" s="34"/>
      <c r="D153" s="34"/>
      <c r="E153" s="34"/>
      <c r="F153" s="34"/>
      <c r="I153" s="25"/>
      <c r="J153" s="25"/>
      <c r="L153" s="25"/>
      <c r="M153" s="25"/>
    </row>
    <row r="154" spans="1:13" ht="27" customHeight="1">
      <c r="A154" s="44" t="s">
        <v>225</v>
      </c>
      <c r="B154" s="34" t="s">
        <v>407</v>
      </c>
      <c r="C154" s="34"/>
      <c r="D154" s="34"/>
      <c r="E154" s="34"/>
      <c r="F154" s="34"/>
      <c r="I154" s="25"/>
      <c r="J154" s="25"/>
      <c r="L154" s="25"/>
      <c r="M154" s="25"/>
    </row>
    <row r="155" spans="1:13" ht="27" customHeight="1">
      <c r="A155" s="44" t="s">
        <v>228</v>
      </c>
      <c r="B155" s="34"/>
      <c r="C155" s="34"/>
      <c r="D155" s="34"/>
      <c r="E155" s="34"/>
      <c r="F155" s="34"/>
      <c r="I155" s="25"/>
      <c r="J155" s="25"/>
      <c r="L155" s="25"/>
      <c r="M155" s="25"/>
    </row>
    <row r="156" spans="1:13" ht="27" customHeight="1">
      <c r="A156" s="44" t="s">
        <v>232</v>
      </c>
      <c r="B156" s="34"/>
      <c r="C156" s="34"/>
      <c r="D156" s="34"/>
      <c r="E156" s="34"/>
      <c r="F156" s="34"/>
      <c r="I156" s="25"/>
      <c r="J156" s="25"/>
      <c r="L156" s="25"/>
      <c r="M156" s="25"/>
    </row>
    <row r="157" spans="1:13" ht="14.25" customHeight="1">
      <c r="A157" s="44" t="s">
        <v>236</v>
      </c>
      <c r="B157" s="34"/>
      <c r="C157" s="34"/>
      <c r="D157" s="34"/>
      <c r="E157" s="34"/>
      <c r="F157" s="34"/>
      <c r="I157" s="25"/>
      <c r="J157" s="25"/>
      <c r="L157" s="25"/>
      <c r="M157" s="25"/>
    </row>
    <row r="158" spans="1:13" ht="14.25" customHeight="1">
      <c r="A158" s="44" t="s">
        <v>237</v>
      </c>
      <c r="B158" s="34"/>
      <c r="C158" s="34"/>
      <c r="D158" s="34"/>
      <c r="E158" s="34"/>
      <c r="F158" s="34"/>
      <c r="I158" s="25"/>
      <c r="J158" s="25"/>
      <c r="L158" s="25"/>
      <c r="M158" s="25"/>
    </row>
    <row r="159" spans="1:13" ht="14.25" customHeight="1">
      <c r="A159" s="44" t="s">
        <v>238</v>
      </c>
      <c r="B159" s="34"/>
      <c r="C159" s="34"/>
      <c r="D159" s="34"/>
      <c r="E159" s="34"/>
      <c r="F159" s="34"/>
      <c r="I159" s="25"/>
      <c r="J159" s="25"/>
      <c r="L159" s="25"/>
      <c r="M159" s="25"/>
    </row>
    <row r="160" spans="1:13" ht="14.25" customHeight="1">
      <c r="A160" s="44" t="s">
        <v>239</v>
      </c>
      <c r="B160" s="34"/>
      <c r="C160" s="34"/>
      <c r="D160" s="34"/>
      <c r="E160" s="34"/>
      <c r="F160" s="34"/>
      <c r="I160" s="25"/>
      <c r="J160" s="25"/>
      <c r="L160" s="25"/>
      <c r="M160" s="25"/>
    </row>
    <row r="161" spans="1:13" ht="14.25" customHeight="1">
      <c r="A161" s="44" t="s">
        <v>240</v>
      </c>
      <c r="B161" s="34"/>
      <c r="C161" s="34"/>
      <c r="D161" s="34"/>
      <c r="E161" s="34"/>
      <c r="F161" s="34"/>
      <c r="I161" s="25"/>
      <c r="J161" s="25"/>
      <c r="L161" s="25"/>
      <c r="M161" s="25"/>
    </row>
    <row r="162" spans="1:13" ht="14.25" customHeight="1">
      <c r="A162" s="44" t="s">
        <v>241</v>
      </c>
      <c r="B162" s="34"/>
      <c r="C162" s="34"/>
      <c r="D162" s="34"/>
      <c r="E162" s="34"/>
      <c r="F162" s="34"/>
      <c r="I162" s="25"/>
      <c r="J162" s="25"/>
      <c r="L162" s="25"/>
      <c r="M162" s="25"/>
    </row>
  </sheetData>
  <mergeCells count="22">
    <mergeCell ref="A1:M2"/>
    <mergeCell ref="A3:M3"/>
    <mergeCell ref="A5:F5"/>
    <mergeCell ref="H5:M5"/>
    <mergeCell ref="A21:F21"/>
    <mergeCell ref="H21:M21"/>
    <mergeCell ref="A85:F85"/>
    <mergeCell ref="H101:M101"/>
    <mergeCell ref="A101:F101"/>
    <mergeCell ref="H37:M37"/>
    <mergeCell ref="A37:F37"/>
    <mergeCell ref="A53:F53"/>
    <mergeCell ref="H53:M53"/>
    <mergeCell ref="A69:F69"/>
    <mergeCell ref="H69:M69"/>
    <mergeCell ref="H85:M85"/>
    <mergeCell ref="H117:M117"/>
    <mergeCell ref="A117:F117"/>
    <mergeCell ref="A133:F133"/>
    <mergeCell ref="H133:M133"/>
    <mergeCell ref="A149:F149"/>
    <mergeCell ref="H149:M149"/>
  </mergeCells>
  <conditionalFormatting sqref="H7:M12">
    <cfRule type="expression" dxfId="11" priority="1">
      <formula>$H7="☑"</formula>
    </cfRule>
  </conditionalFormatting>
  <conditionalFormatting sqref="H23:M29">
    <cfRule type="expression" dxfId="10" priority="2">
      <formula>$H23="☑"</formula>
    </cfRule>
  </conditionalFormatting>
  <conditionalFormatting sqref="H39:M46">
    <cfRule type="expression" dxfId="9" priority="3">
      <formula>$H39="☑"</formula>
    </cfRule>
  </conditionalFormatting>
  <conditionalFormatting sqref="H55:M62">
    <cfRule type="expression" dxfId="8" priority="4">
      <formula>$H55="☑"</formula>
    </cfRule>
  </conditionalFormatting>
  <conditionalFormatting sqref="H71:M79">
    <cfRule type="expression" dxfId="7" priority="5">
      <formula>$H71="☑"</formula>
    </cfRule>
  </conditionalFormatting>
  <conditionalFormatting sqref="H87:M94">
    <cfRule type="expression" dxfId="6" priority="6">
      <formula>$H87="☑"</formula>
    </cfRule>
  </conditionalFormatting>
  <conditionalFormatting sqref="H103:M109">
    <cfRule type="expression" dxfId="5" priority="7">
      <formula>$H103="☑"</formula>
    </cfRule>
  </conditionalFormatting>
  <conditionalFormatting sqref="H119:M125">
    <cfRule type="expression" dxfId="4" priority="8">
      <formula>$H119="☑"</formula>
    </cfRule>
  </conditionalFormatting>
  <conditionalFormatting sqref="H135:M140">
    <cfRule type="expression" dxfId="3" priority="9">
      <formula>$H135="☑"</formula>
    </cfRule>
  </conditionalFormatting>
  <conditionalFormatting sqref="H151:M151">
    <cfRule type="expression" dxfId="2" priority="10">
      <formula>$H151="☑"</formula>
    </cfRule>
  </conditionalFormatting>
  <dataValidations count="1">
    <dataValidation type="list" allowBlank="1" sqref="H7:H12 H23:H29 H39:H46 H55:H62 H71:H79 H87:H94 H103:H109 H119:H125 H135:H140 H151" xr:uid="{00000000-0002-0000-0300-000000000000}">
      <formula1>"☐,☑"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66"/>
  <sheetViews>
    <sheetView showGridLines="0" workbookViewId="0">
      <selection activeCell="E4" sqref="E4"/>
    </sheetView>
  </sheetViews>
  <sheetFormatPr defaultColWidth="14.42578125" defaultRowHeight="15"/>
  <cols>
    <col min="1" max="1" width="19.42578125" customWidth="1"/>
    <col min="2" max="2" width="34.140625" customWidth="1"/>
    <col min="3" max="3" width="35.42578125" customWidth="1"/>
    <col min="4" max="4" width="44" customWidth="1"/>
    <col min="5" max="5" width="30" customWidth="1"/>
    <col min="6" max="6" width="35.140625" customWidth="1"/>
    <col min="7" max="7" width="8.7109375" customWidth="1"/>
    <col min="8" max="14" width="2" customWidth="1"/>
  </cols>
  <sheetData>
    <row r="1" spans="1:6" ht="14.25" customHeight="1">
      <c r="A1" s="167" t="s">
        <v>409</v>
      </c>
      <c r="B1" s="69"/>
      <c r="C1" s="69"/>
      <c r="D1" s="69"/>
      <c r="E1" s="69"/>
      <c r="F1" s="69"/>
    </row>
    <row r="2" spans="1:6" ht="14.25" customHeight="1">
      <c r="A2" s="70"/>
      <c r="B2" s="71"/>
      <c r="C2" s="71"/>
      <c r="D2" s="71"/>
      <c r="E2" s="71"/>
      <c r="F2" s="71"/>
    </row>
    <row r="3" spans="1:6" ht="5.25" customHeight="1">
      <c r="A3" s="183"/>
      <c r="B3" s="161"/>
      <c r="C3" s="161"/>
      <c r="D3" s="161"/>
      <c r="E3" s="161"/>
      <c r="F3" s="161"/>
    </row>
    <row r="4" spans="1:6" ht="18.75" customHeight="1">
      <c r="A4" s="65" t="s">
        <v>605</v>
      </c>
      <c r="B4" s="67" t="s">
        <v>608</v>
      </c>
      <c r="D4" s="65" t="s">
        <v>607</v>
      </c>
      <c r="E4" s="66" t="s">
        <v>606</v>
      </c>
    </row>
    <row r="5" spans="1:6" ht="14.25" customHeight="1">
      <c r="A5" s="45" t="s">
        <v>197</v>
      </c>
      <c r="B5" s="45" t="s">
        <v>198</v>
      </c>
      <c r="C5" s="45" t="s">
        <v>199</v>
      </c>
      <c r="D5" s="45" t="s">
        <v>200</v>
      </c>
      <c r="E5" s="45" t="s">
        <v>201</v>
      </c>
      <c r="F5" s="45" t="s">
        <v>202</v>
      </c>
    </row>
    <row r="6" spans="1:6" ht="50.1" customHeight="1">
      <c r="A6" s="46" t="s">
        <v>208</v>
      </c>
      <c r="B6" s="34" t="str">
        <f>IF('3 Horários e seleção'!$H$10="☑","CALC1 — Cálculo Diferencial e Integral I
Bruno | 201G"&amp;CHAR(10),"")&amp;IF('3 Horários e seleção'!$H$88="☑","ESOF — Optativa - Eixo de Computação
Eliana | Topázio"&amp;CHAR(10),"")&amp;IF('3 Horários e seleção'!$H$104="☑","CD2 — Comunicações Digitais II
Pedro | 401G"&amp;CHAR(10),"")&amp;IF('3 Horários e seleção'!$H$119="☑","SRE — Sistemas de Radioenlace
Renan | Alfa"&amp;CHAR(10),"")&amp;IF('3 Horários e seleção'!$H$140="☑","ACEPI — Atividades Curriculares de Extensão: Projeto Interdisciplinar
Júlio | MJ 403"&amp;CHAR(10),"")&amp;IF('3 Horários e seleção'!$H$151="☑","EMP — Optativa - Eixo Comum
Peterson | 304G"&amp;CHAR(10),"")</f>
        <v/>
      </c>
      <c r="C6" s="34" t="str">
        <f>IF('3 Horários e seleção'!$H$11="☑","AMGA — Álgebra Matricial e Geometria Analítica
Wilian | 201G"&amp;CHAR(10),"")&amp;IF('3 Horários e seleção'!$H$27="☑","CALC2 — Cálculo Diferencial e Integral II
Marcelo | 202G"&amp;CHAR(10),"")&amp;IF('3 Horários e seleção'!$H$58="☑","LFIS3 — Lab. de Física Básica: Ondulatória e Ótica
Daniele | MJ Fis"&amp;CHAR(10),"")&amp;IF('3 Horários e seleção'!$H$78="☑","OE — Ondas Eletromagnéticas
André | 205G"&amp;CHAR(10),"")&amp;IF('3 Horários e seleção'!$H$107="☑","IE — Instalações Elétricas
Júlio | Alfa"&amp;CHAR(10),"")&amp;IF('3 Horários e seleção'!$H$124="☑","CO — Comunicações Ópticas
Pedro | Alfa"&amp;CHAR(10),"")&amp;IF('3 Horários e seleção'!$H$136="☑","CSJ — Ciências Sociais e Jurídicas
Raquel | 405G"&amp;CHAR(10),"")</f>
        <v/>
      </c>
      <c r="D6" s="34" t="str">
        <f>IF('3 Horários e seleção'!$H$10="☑","CALC1 — Cálculo Diferencial e Integral I
Bruno | 201G"&amp;CHAR(10),"")&amp;IF('3 Horários e seleção'!$H$45="☑","MM — Métodos Matemáticos
Marcelo | 203G"&amp;CHAR(10),"")&amp;IF('3 Horários e seleção'!$H$57="☑","FIS3 — Física Básica: Oscilações, Ondas e Ótica
Daniele | 204G"&amp;CHAR(10),"")&amp;IF('3 Horários e seleção'!$H$74="☑","EED — Experimental de Eletrônica Digital
Júlio | MJ 404"&amp;CHAR(10),"")&amp;IF('3 Horários e seleção'!$H$93="☑","LTR — Linhas de Transmissão e Radiação
André | Alfa"&amp;CHAR(10),"")&amp;IF('3 Horários e seleção'!$H$137="☑","ADMGP — Administração e Gerenciamento de Projetos
Peterson | 405G"&amp;CHAR(10),"")</f>
        <v/>
      </c>
      <c r="E6" s="34" t="str">
        <f>IF('3 Horários e seleção'!$H$23="☑","CE1 — Circuitos Elétricos I
Elise | 202G"&amp;CHAR(10),"")&amp;IF('3 Horários e seleção'!$H$44="☑","CALC3 — Cálculo Diferencial e Integral III
Marta | 203G"&amp;CHAR(10),"")&amp;IF('3 Horários e seleção'!$H$59="☑","SS — Sinais e Sistemas
Karine | 204G"&amp;CHAR(10),"")&amp;IF('3 Horários e seleção'!$H$73="☑","ED — Eletrônica Digital
Júlio | 205G"&amp;CHAR(10),"")&amp;IF('3 Horários e seleção'!$H$90="☑","SC — Sistemas de Controle
Daniel | Alfa"&amp;CHAR(10),"")&amp;IF('3 Horários e seleção'!$H$103="☑","ERF — Eletrônica para Radiofrequência
Davi | MJ 404"&amp;CHAR(10),"")&amp;IF('3 Horários e seleção'!$H$123="☑","DMO — Dispositivo de Micro-ondas
Renan | Alfa"&amp;CHAR(10),"")</f>
        <v/>
      </c>
      <c r="F6" s="34" t="str">
        <f>IF('3 Horários e seleção'!$H$8="☑","QT — Química Tecnológica
Daniele L | 201G"&amp;CHAR(10),"")&amp;IF('3 Horários e seleção'!$H$60="☑","CN — Cálculo Numérico
Marta | 204G"&amp;CHAR(10),"")&amp;IF('3 Horários e seleção'!$H$76="☑","PC — Princípios de Comunicação
Aline | MJ 404"&amp;CHAR(10),"")&amp;IF('3 Horários e seleção'!$H$107="☑","IE — Instalações Elétricas
Júlio | Alfa"&amp;CHAR(10),"")&amp;IF('3 Horários e seleção'!$H$138="☑","EAMB — Engenharia Ambiental
Gilvan | 304G"&amp;CHAR(10),"")</f>
        <v/>
      </c>
    </row>
    <row r="7" spans="1:6" ht="50.1" customHeight="1">
      <c r="A7" s="46" t="s">
        <v>217</v>
      </c>
      <c r="B7" s="34" t="str">
        <f>IF('3 Horários e seleção'!$H$10="☑","CALC1 — Cálculo Diferencial e Integral I
Bruno | 201G"&amp;CHAR(10),"")&amp;IF('3 Horários e seleção'!$H$88="☑","ESOF — Optativa - Eixo de Computação
Eliana | Topázio"&amp;CHAR(10),"")&amp;IF('3 Horários e seleção'!$H$104="☑","CD2 — Comunicações Digitais II
Pedro | 401G"&amp;CHAR(10),"")&amp;IF('3 Horários e seleção'!$H$119="☑","SRE — Sistemas de Radioenlace
Renan | Alfa"&amp;CHAR(10),"")&amp;IF('3 Horários e seleção'!$H$140="☑","ACEPI — Atividades Curriculares de Extensão: Projeto Interdisciplinar
Júlio | MJ 403"&amp;CHAR(10),"")&amp;IF('3 Horários e seleção'!$H$151="☑","EMP — Optativa - Eixo Comum
Peterson | 304G"&amp;CHAR(10),"")</f>
        <v/>
      </c>
      <c r="C7" s="34" t="str">
        <f>IF('3 Horários e seleção'!$H$11="☑","AMGA — Álgebra Matricial e Geometria Analítica
Wilian | 201G"&amp;CHAR(10),"")&amp;IF('3 Horários e seleção'!$H$27="☑","CALC2 — Cálculo Diferencial e Integral II
Marcelo | 202G"&amp;CHAR(10),"")&amp;IF('3 Horários e seleção'!$H$39="☑","FS — Fundamentos de Semicondutores
Davi | 203G"&amp;CHAR(10),"")&amp;IF('3 Horários e seleção'!$H$58="☑","LFIS3 — Lab. de Física Básica: Ondulatória e Ótica
Daniele | MJ Fis"&amp;CHAR(10),"")&amp;IF('3 Horários e seleção'!$H$78="☑","OE — Ondas Eletromagnéticas
André | 205G"&amp;CHAR(10),"")&amp;IF('3 Horários e seleção'!$H$91="☑","CEIME — Conversão de Energia e Introdução às Máquinas Elétricas
Elise | 206G"&amp;CHAR(10),"")&amp;IF('3 Horários e seleção'!$H$107="☑","IE — Instalações Elétricas
Júlio | Alfa"&amp;CHAR(10),"")&amp;IF('3 Horários e seleção'!$H$124="☑","CO — Comunicações Ópticas
Pedro | Alfa"&amp;CHAR(10),"")&amp;IF('3 Horários e seleção'!$H$136="☑","CSJ — Ciências Sociais e Jurídicas
Raquel | 405G"&amp;CHAR(10),"")</f>
        <v/>
      </c>
      <c r="D7" s="34" t="str">
        <f>IF('3 Horários e seleção'!$H$10="☑","CALC1 — Cálculo Diferencial e Integral I
Bruno | 201G"&amp;CHAR(10),"")&amp;IF('3 Horários e seleção'!$H$28="☑","EST — Estatística para Engenharia
Fabrícia | 202G"&amp;CHAR(10),"")&amp;IF('3 Horários e seleção'!$H$45="☑","MM — Métodos Matemáticos
Marcelo | 203G"&amp;CHAR(10),"")&amp;IF('3 Horários e seleção'!$H$57="☑","FIS3 — Física Básica: Oscilações, Ondas e Ótica
Daniele | 204G"&amp;CHAR(10),"")&amp;IF('3 Horários e seleção'!$H$74="☑","EED — Experimental de Eletrônica Digital
Júlio | MJ 404"&amp;CHAR(10),"")&amp;IF('3 Horários e seleção'!$H$93="☑","LTR — Linhas de Transmissão e Radiação
André | Alfa"&amp;CHAR(10),"")&amp;IF('3 Horários e seleção'!$H$120="☑","CM — Comunicações Móveis
Diego | Alfa"&amp;CHAR(10),"")&amp;IF('3 Horários e seleção'!$H$137="☑","ADMGP — Administração e Gerenciamento de Projetos
Peterson | 405G"&amp;CHAR(10),"")</f>
        <v/>
      </c>
      <c r="E7" s="34" t="str">
        <f>IF('3 Horários e seleção'!$H$23="☑","CE1 — Circuitos Elétricos I
Elise | 202G"&amp;CHAR(10),"")&amp;IF('3 Horários e seleção'!$H$44="☑","CALC3 — Cálculo Diferencial e Integral III
Marta | 203G"&amp;CHAR(10),"")&amp;IF('3 Horários e seleção'!$H$59="☑","SS — Sinais e Sistemas
Karine | 204G"&amp;CHAR(10),"")&amp;IF('3 Horários e seleção'!$H$73="☑","ED — Eletrônica Digital
Júlio | 205G"&amp;CHAR(10),"")&amp;IF('3 Horários e seleção'!$H$90="☑","SC — Sistemas de Controle
Daniel | Alfa"&amp;CHAR(10),"")&amp;IF('3 Horários e seleção'!$H$103="☑","ERF — Eletrônica para Radiofrequência
Davi | MJ 404"&amp;CHAR(10),"")&amp;IF('3 Horários e seleção'!$H$123="☑","DMO — Dispositivo de Micro-ondas
Renan | Alfa"&amp;CHAR(10),"")</f>
        <v/>
      </c>
      <c r="F7" s="34" t="str">
        <f>IF('3 Horários e seleção'!$H$8="☑","QT — Química Tecnológica
Daniele L | 201G"&amp;CHAR(10),"")&amp;IF('3 Horários e seleção'!$H$60="☑","CN — Cálculo Numérico
Marta | 204G"&amp;CHAR(10),"")&amp;IF('3 Horários e seleção'!$H$76="☑","PC — Princípios de Comunicação
Aline | MJ 404"&amp;CHAR(10),"")&amp;IF('3 Horários e seleção'!$H$92="☑","ECEIME — Experimental de Conversão de Energia e Introdução às Máquinas Elétricas
Elise | MJ 405"&amp;CHAR(10),"")&amp;IF('3 Horários e seleção'!$H$107="☑","IE — Instalações Elétricas
Júlio | Alfa"&amp;CHAR(10),"")&amp;IF('3 Horários e seleção'!$H$138="☑","EAMB — Engenharia Ambiental
Gilvan | 304G"&amp;CHAR(10),"")</f>
        <v/>
      </c>
    </row>
    <row r="8" spans="1:6" ht="88.5" customHeight="1">
      <c r="A8" s="46" t="s">
        <v>220</v>
      </c>
      <c r="B8" s="34" t="str">
        <f>IF('3 Horários e seleção'!$H$11="☑","AMGA — Álgebra Matricial e Geometria Analítica
Wilian | 201G"&amp;CHAR(10),"")&amp;IF('3 Horários e seleção'!$H$26="☑","LFIS1 — Lab. de Física Básica: Mecânica
Ricardo | MJ Fis"&amp;CHAR(10),"")&amp;IF('3 Horários e seleção'!$H$45="☑","MM — Métodos Matemáticos
Marcelo | 203G"&amp;CHAR(10),"")&amp;IF('3 Horários e seleção'!$H$61="☑","EMAG — Eletromagnetismo
Aline | 204G"&amp;CHAR(10),"")&amp;IF('3 Horários e seleção'!$H$71="☑","EA2 — Eletrônica Analógica II
Guilherme | 205G"&amp;CHAR(10),"")&amp;IF('3 Horários e seleção'!$H$88="☑","ESOF — Optativa - Eixo de Computação
Eliana | Topázio"&amp;CHAR(10),"")&amp;IF('3 Horários e seleção'!$H$108="☑","ANT — Antenas
Renan | Alfa"&amp;CHAR(10),"")&amp;IF('3 Horários e seleção'!$H$124="☑","CO — Comunicações Ópticas
Pedro | Alfa"&amp;CHAR(10),"")&amp;IF('3 Horários e seleção'!$H$140="☑","ACEPI — Atividades Curriculares de Extensão: Projeto Interdisciplinar
Júlio | MJ 403"&amp;CHAR(10),"")&amp;IF('3 Horários e seleção'!$H$151="☑","EMP — Optativa - Eixo Comum
Peterson | 304G"&amp;CHAR(10),"")</f>
        <v/>
      </c>
      <c r="C8" s="34" t="str">
        <f>IF('3 Horários e seleção'!$H$10="☑","CALC1 — Cálculo Diferencial e Integral I
Bruno | 201G"&amp;CHAR(10),"")&amp;IF('3 Horários e seleção'!$H$25="☑","FIS1 — Física Básica: Mecânica
Ricardo | 202G"&amp;CHAR(10),"")&amp;IF('3 Horários e seleção'!$H$39="☑","FS — Fundamentos de Semicondutores
Davi | 203G"&amp;CHAR(10),"")&amp;IF('3 Horários e seleção'!$H$75="☑","PDS — Processamento Digital de Sinais
Karine | Alfa"&amp;CHAR(10),"")&amp;IF('3 Horários e seleção'!$H$91="☑","CEIME — Conversão de Energia e Introdução às Máquinas Elétricas
Elise | 206G"&amp;CHAR(10),"")&amp;IF('3 Horários e seleção'!$H$104="☑","CD2 — Comunicações Digitais II
Pedro | 401G"&amp;CHAR(10),"")&amp;IF('3 Horários e seleção'!$H$120="☑","CM — Comunicações Móveis
Diego | Alfa"&amp;CHAR(10),"")&amp;IF('3 Horários e seleção'!$H$136="☑","CSJ — Ciências Sociais e Jurídicas
Raquel | 405G"&amp;CHAR(10),"")</f>
        <v/>
      </c>
      <c r="D8" s="34" t="str">
        <f>IF('3 Horários e seleção'!$H$11="☑","AMGA — Álgebra Matricial e Geometria Analítica
Wilian | 201G"&amp;CHAR(10),"")&amp;IF('3 Horários e seleção'!$H$28="☑","EST — Estatística para Engenharia
Fabrícia | 202G"&amp;CHAR(10),"")&amp;IF('3 Horários e seleção'!$H$44="☑","CALC3 — Cálculo Diferencial e Integral III
Marta | 203G"&amp;CHAR(10),"")&amp;IF('3 Horários e seleção'!$H$61="☑","EMAG — Eletromagnetismo
Aline | 204G"&amp;CHAR(10),"")&amp;IF('3 Horários e seleção'!$H$72="☑","EEA2 — Experimental de Eletrônica Analógica II
Guilherme | MJ 404"&amp;CHAR(10),"")&amp;IF('3 Horários e seleção'!$H$89="☑","CD1 — Comunicações Digitais I
André | Alfa"&amp;CHAR(10),"")&amp;IF('3 Horários e seleção'!$H$120="☑","CM — Comunicações Móveis
Diego | Alfa"&amp;CHAR(10),"")&amp;IF('3 Horários e seleção'!$H$137="☑","ADMGP — Administração e Gerenciamento de Projetos
Peterson | 405G"&amp;CHAR(10),"")</f>
        <v/>
      </c>
      <c r="E8" s="34" t="str">
        <f>IF('3 Horários e seleção'!$H$29="☑","POO — Programação Orientada a Objetos
Eliana | Topázio"&amp;CHAR(10),"")&amp;IF('3 Horários e seleção'!$H$42="☑","FIS2 — Física Básica: Eletricidade e Magnetismo
Paulo | 203G"&amp;CHAR(10),"")&amp;IF('3 Horários e seleção'!$H$57="☑","FIS3 — Física Básica: Oscilações, Ondas e Ótica
Daniele | 204G"&amp;CHAR(10),"")&amp;IF('3 Horários e seleção'!$H$77="☑","CEP — Circuitos Elétricos Polifásicos
Elise | 205G"&amp;CHAR(10),"")&amp;IF('3 Horários e seleção'!$H$90="☑","SC — Sistemas de Controle
Daniel | Alfa"&amp;CHAR(10),"")&amp;IF('3 Horários e seleção'!$H$103="☑","ERF — Eletrônica para Radiofrequência
Davi | MJ 404"&amp;CHAR(10),"")&amp;IF('3 Horários e seleção'!$H$123="☑","DMO — Dispositivo de Micro-ondas
Renan | Alfa"&amp;CHAR(10),"")&amp;IF('3 Horários e seleção'!$H$135="☑","PFC1 — Projeto Final de Curso I
Diego | 405G"&amp;CHAR(10),"")</f>
        <v/>
      </c>
      <c r="F8" s="34" t="str">
        <f>IF('3 Horários e seleção'!$H$25="☑","FIS1 — Física Básica: Mecânica
Ricardo | 202G"&amp;CHAR(10),"")&amp;IF('3 Horários e seleção'!$H$43="☑","LFIS2 — Lab. Física Básica: Eletricidade e Magnetismo
Paulo | MJ Fis"&amp;CHAR(10),"")&amp;IF('3 Horários e seleção'!$H$55="☑","EA1 — Eletrônica Analógica I
Guilherme | 204G"&amp;CHAR(10),"")&amp;IF('3 Horários e seleção'!$H$92="☑","ECEIME — Experimental de Conversão de Energia e Introdução às Máquinas Elétricas
Elise | MJ 405"&amp;CHAR(10),"")&amp;IF('3 Horários e seleção'!$H$106="☑","REDES — Redes de Comunicação
Karine | Alfa"&amp;CHAR(10),"")&amp;IF('3 Horários e seleção'!$H$138="☑","EAMB — Engenharia Ambiental
Gilvan | 304G"&amp;CHAR(10),"")</f>
        <v/>
      </c>
    </row>
    <row r="9" spans="1:6" ht="82.5" customHeight="1">
      <c r="A9" s="46" t="s">
        <v>225</v>
      </c>
      <c r="B9" s="34" t="str">
        <f>IF('3 Horários e seleção'!$H$11="☑","AMGA — Álgebra Matricial e Geometria Analítica
Wilian | 201G"&amp;CHAR(10),"")&amp;IF('3 Horários e seleção'!$H$26="☑","LFIS1 — Lab. de Física Básica: Mecânica
Ricardo | MJ Fis"&amp;CHAR(10),"")&amp;IF('3 Horários e seleção'!$H$45="☑","MM — Métodos Matemáticos
Marcelo | 203G"&amp;CHAR(10),"")&amp;IF('3 Horários e seleção'!$H$61="☑","EMAG — Eletromagnetismo
Aline | 204G"&amp;CHAR(10),"")&amp;IF('3 Horários e seleção'!$H$71="☑","EA2 — Eletrônica Analógica II
Guilherme | 205G"&amp;CHAR(10),"")&amp;IF('3 Horários e seleção'!$H$88="☑","ESOF — Optativa - Eixo de Computação
Eliana | Topázio"&amp;CHAR(10),"")&amp;IF('3 Horários e seleção'!$H$108="☑","ANT — Antenas
Renan | Alfa"&amp;CHAR(10),"")&amp;IF('3 Horários e seleção'!$H$124="☑","CO — Comunicações Ópticas
Pedro | Alfa"&amp;CHAR(10),"")&amp;IF('3 Horários e seleção'!$H$140="☑","ACEPI — Atividades Curriculares de Extensão: Projeto Interdisciplinar
Júlio | MJ 403"&amp;CHAR(10),"")&amp;IF('3 Horários e seleção'!$H$151="☑","EMP — Optativa - Eixo Comum
Peterson | 304G"&amp;CHAR(10),"")</f>
        <v/>
      </c>
      <c r="C9" s="34" t="str">
        <f>IF('3 Horários e seleção'!$H$10="☑","CALC1 — Cálculo Diferencial e Integral I
Bruno | 201G"&amp;CHAR(10),"")&amp;IF('3 Horários e seleção'!$H$25="☑","FIS1 — Física Básica: Mecânica
Ricardo | 202G"&amp;CHAR(10),"")&amp;IF('3 Horários e seleção'!$H$46="☑","FT — Fenômenos de Transporte
Henrique | 203G"&amp;CHAR(10),"")&amp;IF('3 Horários e seleção'!$H$75="☑","PDS — Processamento Digital de Sinais
Karine | Alfa"&amp;CHAR(10),"")&amp;IF('3 Horários e seleção'!$H$91="☑","CEIME — Conversão de Energia e Introdução às Máquinas Elétricas
Elise | 206G"&amp;CHAR(10),"")&amp;IF('3 Horários e seleção'!$H$104="☑","CD2 — Comunicações Digitais II
Pedro | 401G"&amp;CHAR(10),"")&amp;IF('3 Horários e seleção'!$H$120="☑","CM — Comunicações Móveis
Diego | Alfa"&amp;CHAR(10),"")&amp;IF('3 Horários e seleção'!$H$139="☑","ECON — Economia
Raquel | 405G"&amp;CHAR(10),"")</f>
        <v/>
      </c>
      <c r="D9" s="34" t="str">
        <f>IF('3 Horários e seleção'!$H$11="☑","AMGA — Álgebra Matricial e Geometria Analítica
Wilian | 201G"&amp;CHAR(10),"")&amp;IF('3 Horários e seleção'!$H$27="☑","CALC2 — Cálculo Diferencial e Integral II
Marcelo | 202G"&amp;CHAR(10),"")&amp;IF('3 Horários e seleção'!$H$44="☑","CALC3 — Cálculo Diferencial e Integral III
Marta | 203G"&amp;CHAR(10),"")&amp;IF('3 Horários e seleção'!$H$61="☑","EMAG — Eletromagnetismo
Aline | 204G"&amp;CHAR(10),"")&amp;IF('3 Horários e seleção'!$H$72="☑","EEA2 — Experimental de Eletrônica Analógica II
Guilherme | MJ 404"&amp;CHAR(10),"")&amp;IF('3 Horários e seleção'!$H$93="☑","LTR — Linhas de Transmissão e Radiação
André | Alfa"&amp;CHAR(10),"")&amp;IF('3 Horários e seleção'!$H$120="☑","CM — Comunicações Móveis
Diego | Alfa"&amp;CHAR(10),"")&amp;IF('3 Horários e seleção'!$H$137="☑","ADMGP — Administração e Gerenciamento de Projetos
Peterson | 405G"&amp;CHAR(10),"")</f>
        <v/>
      </c>
      <c r="E9" s="34" t="str">
        <f>IF('3 Horários e seleção'!$H$29="☑","POO — Programação Orientada a Objetos
Eliana | Topázio"&amp;CHAR(10),"")&amp;IF('3 Horários e seleção'!$H$42="☑","FIS2 — Física Básica: Eletricidade e Magnetismo
Paulo | 203G"&amp;CHAR(10),"")&amp;IF('3 Horários e seleção'!$H$57="☑","FIS3 — Física Básica: Oscilações, Ondas e Ótica
Daniele | 204G"&amp;CHAR(10),"")&amp;IF('3 Horários e seleção'!$H$77="☑","CEP — Circuitos Elétricos Polifásicos
Elise | 205G"&amp;CHAR(10),"")&amp;IF('3 Horários e seleção'!$H$89="☑","CD1 — Comunicações Digitais I
André | Alfa"&amp;CHAR(10),"")&amp;IF('3 Horários e seleção'!$H$122="☑","GSR — Gerenciamento e Segurança de Redes
Daniel | 403G"&amp;CHAR(10),"")&amp;IF('3 Horários e seleção'!$H$135="☑","PFC1 — Projeto Final de Curso I
Diego | 405G"&amp;CHAR(10),"")</f>
        <v/>
      </c>
      <c r="F9" s="34" t="str">
        <f>IF('3 Horários e seleção'!$H$9="☑","EG — Expressão Gráfica
Carla | Ouro"&amp;CHAR(10),"")&amp;IF('3 Horários e seleção'!$H$25="☑","FIS1 — Física Básica: Mecânica
Ricardo | 202G"&amp;CHAR(10),"")&amp;IF('3 Horários e seleção'!$H$43="☑","LFIS2 — Lab. Física Básica: Eletricidade e Magnetismo
Paulo | MJ Fis"&amp;CHAR(10),"")&amp;IF('3 Horários e seleção'!$H$55="☑","EA1 — Eletrônica Analógica I
Guilherme | 204G"&amp;CHAR(10),"")&amp;IF('3 Horários e seleção'!$H$87="☑","MICRO — Microcontroladores
Júlio | MJ 404"&amp;CHAR(10),"")&amp;IF('3 Horários e seleção'!$H$106="☑","REDES — Redes de Comunicação
Karine | Alfa"&amp;CHAR(10),"")</f>
        <v/>
      </c>
    </row>
    <row r="10" spans="1:6" ht="77.25" customHeight="1">
      <c r="A10" s="46" t="s">
        <v>228</v>
      </c>
      <c r="B10" s="34" t="str">
        <f>IF('3 Horários e seleção'!$H$12="☑","ITC — Introdução à Tecnologia da Computação
Laurence | Topázio"&amp;CHAR(10),"")&amp;IF('3 Horários e seleção'!$H$24="☑","ECE1 — Experimental de Circuitos Elétricos I
Elise | MJ 405"&amp;CHAR(10),"")&amp;IF('3 Horários e seleção'!$H$40="☑","CE2 — Circuitos Elétricos II
Aline | 203G"&amp;CHAR(10),"")&amp;IF('3 Horários e seleção'!$H$55="☑","EA1 — Eletrônica Analógica I
Guilherme | 204G"&amp;CHAR(10),"")&amp;IF('3 Horários e seleção'!$H$90="☑","SC — Sistemas de Controle
Daniel | Alfa"&amp;CHAR(10),"")&amp;IF('3 Horários e seleção'!$H$108="☑","ANT — Antenas
Renan | Alfa"&amp;CHAR(10),"")&amp;IF('3 Horários e seleção'!$H$140="☑","ACEPI — Atividades Curriculares de Extensão: Projeto Interdisciplinar
Júlio | MJ 403"&amp;CHAR(10),"")</f>
        <v/>
      </c>
      <c r="C10" s="34" t="str">
        <f>IF('3 Horários e seleção'!$H$12="☑","ITC — Introdução à Tecnologia da Computação
Laurence | Topázio"&amp;CHAR(10),"")&amp;IF('3 Horários e seleção'!$H$28="☑","EST — Estatística para Engenharia
Fabrícia | 202G"&amp;CHAR(10),"")&amp;IF('3 Horários e seleção'!$H$46="☑","FT — Fenômenos de Transporte
Henrique | 203G"&amp;CHAR(10),"")&amp;IF('3 Horários e seleção'!$H$56="☑","EEA1 — Experimental de Eletrônica Analógica I
Guilherme | MJ 404"&amp;CHAR(10),"")&amp;IF('3 Horários e seleção'!$H$76="☑","PC — Princípios de Comunicação
Aline | MJ 404"&amp;CHAR(10),"")&amp;IF('3 Horários e seleção'!$H$106="☑","REDES — Redes de Comunicação
Karine | Alfa"&amp;CHAR(10),"")&amp;IF('3 Horários e seleção'!$H$123="☑","DMO — Dispositivo de Micro-ondas
Renan | Alfa"&amp;CHAR(10),"")&amp;IF('3 Horários e seleção'!$H$139="☑","ECON — Economia
Raquel | 405G"&amp;CHAR(10),"")</f>
        <v/>
      </c>
      <c r="D10" s="34" t="str">
        <f>IF('3 Horários e seleção'!$H$7="☑","IEET — Introdução à Eng. Eletrônica e de Telecomunicações
Diego | 201G"&amp;CHAR(10),"")&amp;IF('3 Horários e seleção'!$H$27="☑","CALC2 — Cálculo Diferencial e Integral II
Marcelo | 202G"&amp;CHAR(10),"")&amp;IF('3 Horários e seleção'!$H$42="☑","FIS2 — Física Básica: Eletricidade e Magnetismo
Paulo | 203G"&amp;CHAR(10),"")&amp;IF('3 Horários e seleção'!$H$60="☑","CN — Cálculo Numérico
Marta | 204G"&amp;CHAR(10),"")&amp;IF('3 Horários e seleção'!$H$121="☑","STV — Sistemas de Televisão
André | Alfa"&amp;CHAR(10),"")</f>
        <v/>
      </c>
      <c r="E10" s="34" t="str">
        <f>IF('3 Horários e seleção'!$H$8="☑","QT — Química Tecnológica
Daniele L | 201G"&amp;CHAR(10),"")&amp;IF('3 Horários e seleção'!$H$29="☑","POO — Programação Orientada a Objetos
Eliana | Topázio"&amp;CHAR(10),"")&amp;IF('3 Horários e seleção'!$H$46="☑","FT — Fenômenos de Transporte
Henrique | 203G"&amp;CHAR(10),"")&amp;IF('3 Horários e seleção'!$H$75="☑","PDS — Processamento Digital de Sinais
Karine | Alfa"&amp;CHAR(10),"")&amp;IF('3 Horários e seleção'!$H$89="☑","CD1 — Comunicações Digitais I
André | Alfa"&amp;CHAR(10),"")&amp;IF('3 Horários e seleção'!$H$105="☑","TD — Telefonia Digital
Diego | 401G"&amp;CHAR(10),"")&amp;IF('3 Horários e seleção'!$H$122="☑","GSR — Gerenciamento e Segurança de Redes
Daniel | 403G"&amp;CHAR(10),"")</f>
        <v/>
      </c>
      <c r="F10" s="34" t="str">
        <f>IF('3 Horários e seleção'!$H$9="☑","EG — Expressão Gráfica
Carla | Ouro"&amp;CHAR(10),"")&amp;IF('3 Horários e seleção'!$H$23="☑","CE1 — Circuitos Elétricos I
Elise | 202G"&amp;CHAR(10),"")&amp;IF('3 Horários e seleção'!$H$41="☑","ECE2 — Experimental de Circuitos Elétricos II
Aline | MJ 405"&amp;CHAR(10),"")&amp;IF('3 Horários e seleção'!$H$59="☑","SS — Sinais e Sistemas
Karine | 204G"&amp;CHAR(10),"")&amp;IF('3 Horários e seleção'!$H$87="☑","MICRO — Microcontroladores
Júlio | MJ 404"&amp;CHAR(10),"")</f>
        <v/>
      </c>
    </row>
    <row r="11" spans="1:6" ht="50.1" customHeight="1">
      <c r="A11" s="46" t="s">
        <v>232</v>
      </c>
      <c r="B11" s="34" t="str">
        <f>IF('3 Horários e seleção'!$H$12="☑","ITC — Introdução à Tecnologia da Computação
Laurence | Topázio"&amp;CHAR(10),"")&amp;IF('3 Horários e seleção'!$H$24="☑","ECE1 — Experimental de Circuitos Elétricos I
Elise | MJ 405"&amp;CHAR(10),"")&amp;IF('3 Horários e seleção'!$H$40="☑","CE2 — Circuitos Elétricos II
Aline | 203G"&amp;CHAR(10),"")&amp;IF('3 Horários e seleção'!$H$55="☑","EA1 — Eletrônica Analógica I
Guilherme | 204G"&amp;CHAR(10),"")&amp;IF('3 Horários e seleção'!$H$90="☑","SC — Sistemas de Controle
Daniel | Alfa"&amp;CHAR(10),"")&amp;IF('3 Horários e seleção'!$H$108="☑","ANT — Antenas
Renan | Alfa"&amp;CHAR(10),"")&amp;IF('3 Horários e seleção'!$H$140="☑","ACEPI — Atividades Curriculares de Extensão: Projeto Interdisciplinar
Júlio | MJ 403"&amp;CHAR(10),"")</f>
        <v/>
      </c>
      <c r="C11" s="34" t="str">
        <f>IF('3 Horários e seleção'!$H$12="☑","ITC — Introdução à Tecnologia da Computação
Laurence | Topázio"&amp;CHAR(10),"")&amp;IF('3 Horários e seleção'!$H$28="☑","EST — Estatística para Engenharia
Fabrícia | 202G"&amp;CHAR(10),"")&amp;IF('3 Horários e seleção'!$H$46="☑","FT — Fenômenos de Transporte
Henrique | 203G"&amp;CHAR(10),"")&amp;IF('3 Horários e seleção'!$H$56="☑","EEA1 — Experimental de Eletrônica Analógica I
Guilherme | MJ 404"&amp;CHAR(10),"")&amp;IF('3 Horários e seleção'!$H$76="☑","PC — Princípios de Comunicação
Aline | MJ 404"&amp;CHAR(10),"")&amp;IF('3 Horários e seleção'!$H$106="☑","REDES — Redes de Comunicação
Karine | Alfa"&amp;CHAR(10),"")&amp;IF('3 Horários e seleção'!$H$119="☑","SRE — Sistemas de Radioenlace
Renan | Alfa"&amp;CHAR(10),"")&amp;IF('3 Horários e seleção'!$H$139="☑","ECON — Economia
Raquel | 405G"&amp;CHAR(10),"")</f>
        <v/>
      </c>
      <c r="D11" s="34" t="str">
        <f>IF('3 Horários e seleção'!$H$7="☑","IEET — Introdução à Eng. Eletrônica e de Telecomunicações
Diego | 201G"&amp;CHAR(10),"")&amp;IF('3 Horários e seleção'!$H$27="☑","CALC2 — Cálculo Diferencial e Integral II
Marcelo | 202G"&amp;CHAR(10),"")&amp;IF('3 Horários e seleção'!$H$42="☑","FIS2 — Física Básica: Eletricidade e Magnetismo
Paulo | 203G"&amp;CHAR(10),"")&amp;IF('3 Horários e seleção'!$H$60="☑","CN — Cálculo Numérico
Marta | 204G"&amp;CHAR(10),"")&amp;IF('3 Horários e seleção'!$H$121="☑","STV — Sistemas de Televisão
André | Alfa"&amp;CHAR(10),"")</f>
        <v/>
      </c>
      <c r="E11" s="34" t="str">
        <f>IF('3 Horários e seleção'!$H$8="☑","QT — Química Tecnológica
Daniele L | 201G"&amp;CHAR(10),"")&amp;IF('3 Horários e seleção'!$H$29="☑","POO — Programação Orientada a Objetos
Eliana | Topázio"&amp;CHAR(10),"")&amp;IF('3 Horários e seleção'!$H$46="☑","FT — Fenômenos de Transporte
Henrique | 203G"&amp;CHAR(10),"")&amp;IF('3 Horários e seleção'!$H$75="☑","PDS — Processamento Digital de Sinais
Karine | Alfa"&amp;CHAR(10),"")&amp;IF('3 Horários e seleção'!$H$89="☑","CD1 — Comunicações Digitais I
André | Alfa"&amp;CHAR(10),"")&amp;IF('3 Horários e seleção'!$H$105="☑","TD — Telefonia Digital
Diego | 401G"&amp;CHAR(10),"")&amp;IF('3 Horários e seleção'!$H$122="☑","GSR — Gerenciamento e Segurança de Redes
Daniel | 403G"&amp;CHAR(10),"")</f>
        <v/>
      </c>
      <c r="F11" s="34" t="str">
        <f>IF('3 Horários e seleção'!$H$9="☑","EG — Expressão Gráfica
Carla | Ouro"&amp;CHAR(10),"")&amp;IF('3 Horários e seleção'!$H$23="☑","CE1 — Circuitos Elétricos I
Elise | 202G"&amp;CHAR(10),"")&amp;IF('3 Horários e seleção'!$H$41="☑","ECE2 — Experimental de Circuitos Elétricos II
Aline | MJ 405"&amp;CHAR(10),"")&amp;IF('3 Horários e seleção'!$H$59="☑","SS — Sinais e Sistemas
Karine | 204G"&amp;CHAR(10),"")&amp;IF('3 Horários e seleção'!$H$87="☑","MICRO — Microcontroladores
Júlio | MJ 404"&amp;CHAR(10),"")</f>
        <v/>
      </c>
    </row>
    <row r="12" spans="1:6" ht="18" customHeight="1">
      <c r="A12" s="46" t="s">
        <v>236</v>
      </c>
      <c r="B12" s="34" t="str">
        <f>IF('3 Horários e seleção'!$H$62="☑","ACE1 — Atividades Curriculares de Extensão I
Diego | 204G"&amp;CHAR(10),"")&amp;IF('3 Horários e seleção'!$H$79="☑","ACE2 — Atividades Curriculares de Extensão II
Aline | 205G"&amp;CHAR(10),"")&amp;IF('3 Horários e seleção'!$H$94="☑","ACE3 — Atividades Curriculares de Extensão III
Daniel | 206G"&amp;CHAR(10),"")&amp;IF('3 Horários e seleção'!$H$109="☑","ACE4 — Atividades Curriculares de Extensão IV
Pedro | 401G"&amp;CHAR(10),"")&amp;IF('3 Horários e seleção'!$H$125="☑","ACE5 — Atividades Curriculares de Extensão V
Guilherme | 403G"&amp;CHAR(10),"")</f>
        <v/>
      </c>
      <c r="C12" s="34" t="str">
        <f t="shared" ref="C12:F12" si="0">""</f>
        <v/>
      </c>
      <c r="D12" s="34" t="str">
        <f t="shared" si="0"/>
        <v/>
      </c>
      <c r="E12" s="34" t="str">
        <f t="shared" si="0"/>
        <v/>
      </c>
      <c r="F12" s="34" t="str">
        <f t="shared" si="0"/>
        <v/>
      </c>
    </row>
    <row r="13" spans="1:6" ht="15.75" customHeight="1">
      <c r="A13" s="46" t="s">
        <v>237</v>
      </c>
      <c r="B13" s="34" t="str">
        <f>IF('3 Horários e seleção'!$H$62="☑","ACE1 — Atividades Curriculares de Extensão I
Diego | 204G"&amp;CHAR(10),"")&amp;IF('3 Horários e seleção'!$H$79="☑","ACE2 — Atividades Curriculares de Extensão II
Aline | 205G"&amp;CHAR(10),"")&amp;IF('3 Horários e seleção'!$H$94="☑","ACE3 — Atividades Curriculares de Extensão III
Daniel | 206G"&amp;CHAR(10),"")&amp;IF('3 Horários e seleção'!$H$109="☑","ACE4 — Atividades Curriculares de Extensão IV
Pedro | 401G"&amp;CHAR(10),"")&amp;IF('3 Horários e seleção'!$H$125="☑","ACE5 — Atividades Curriculares de Extensão V
Guilherme | 403G"&amp;CHAR(10),"")</f>
        <v/>
      </c>
      <c r="C13" s="34" t="str">
        <f t="shared" ref="C13:F13" si="1">""</f>
        <v/>
      </c>
      <c r="D13" s="34" t="str">
        <f t="shared" si="1"/>
        <v/>
      </c>
      <c r="E13" s="34" t="str">
        <f t="shared" si="1"/>
        <v/>
      </c>
      <c r="F13" s="34" t="str">
        <f t="shared" si="1"/>
        <v/>
      </c>
    </row>
    <row r="14" spans="1:6" ht="15.75" customHeight="1">
      <c r="A14" s="46" t="s">
        <v>238</v>
      </c>
      <c r="B14" s="34" t="str">
        <f>IF('3 Horários e seleção'!$H$62="☑","ACE1 — Atividades Curriculares de Extensão I
Diego | 204G"&amp;CHAR(10),"")&amp;IF('3 Horários e seleção'!$H$79="☑","ACE2 — Atividades Curriculares de Extensão II
Aline | 205G"&amp;CHAR(10),"")&amp;IF('3 Horários e seleção'!$H$94="☑","ACE3 — Atividades Curriculares de Extensão III
Daniel | 206G"&amp;CHAR(10),"")&amp;IF('3 Horários e seleção'!$H$109="☑","ACE4 — Atividades Curriculares de Extensão IV
Pedro | 401G"&amp;CHAR(10),"")&amp;IF('3 Horários e seleção'!$H$125="☑","ACE5 — Atividades Curriculares de Extensão V
Guilherme | 403G"&amp;CHAR(10),"")</f>
        <v/>
      </c>
      <c r="C14" s="34" t="str">
        <f t="shared" ref="C14:F14" si="2">""</f>
        <v/>
      </c>
      <c r="D14" s="34" t="str">
        <f t="shared" si="2"/>
        <v/>
      </c>
      <c r="E14" s="34" t="str">
        <f t="shared" si="2"/>
        <v/>
      </c>
      <c r="F14" s="34" t="str">
        <f t="shared" si="2"/>
        <v/>
      </c>
    </row>
    <row r="15" spans="1:6" ht="15.75" customHeight="1">
      <c r="A15" s="46" t="s">
        <v>239</v>
      </c>
      <c r="B15" s="34" t="str">
        <f>IF('3 Horários e seleção'!$H$62="☑","ACE1 — Atividades Curriculares de Extensão I
Diego | 204G"&amp;CHAR(10),"")&amp;IF('3 Horários e seleção'!$H$79="☑","ACE2 — Atividades Curriculares de Extensão II
Aline | 205G"&amp;CHAR(10),"")&amp;IF('3 Horários e seleção'!$H$94="☑","ACE3 — Atividades Curriculares de Extensão III
Daniel | 206G"&amp;CHAR(10),"")&amp;IF('3 Horários e seleção'!$H$109="☑","ACE4 — Atividades Curriculares de Extensão IV
Pedro | 401G"&amp;CHAR(10),"")&amp;IF('3 Horários e seleção'!$H$125="☑","ACE5 — Atividades Curriculares de Extensão V
Guilherme | 403G"&amp;CHAR(10),"")</f>
        <v/>
      </c>
      <c r="C15" s="34" t="str">
        <f t="shared" ref="C15:F15" si="3">""</f>
        <v/>
      </c>
      <c r="D15" s="34" t="str">
        <f t="shared" si="3"/>
        <v/>
      </c>
      <c r="E15" s="34" t="str">
        <f t="shared" si="3"/>
        <v/>
      </c>
      <c r="F15" s="34" t="str">
        <f t="shared" si="3"/>
        <v/>
      </c>
    </row>
    <row r="16" spans="1:6" ht="18.75" customHeight="1">
      <c r="A16" s="46" t="s">
        <v>240</v>
      </c>
      <c r="B16" s="34" t="str">
        <f t="shared" ref="B16:F16" si="4">""</f>
        <v/>
      </c>
      <c r="C16" s="34" t="str">
        <f t="shared" si="4"/>
        <v/>
      </c>
      <c r="D16" s="34" t="str">
        <f t="shared" si="4"/>
        <v/>
      </c>
      <c r="E16" s="34" t="str">
        <f t="shared" si="4"/>
        <v/>
      </c>
      <c r="F16" s="34" t="str">
        <f t="shared" si="4"/>
        <v/>
      </c>
    </row>
    <row r="17" spans="1:6" ht="16.5" customHeight="1">
      <c r="A17" s="46" t="s">
        <v>241</v>
      </c>
      <c r="B17" s="34" t="str">
        <f t="shared" ref="B17:F17" si="5">""</f>
        <v/>
      </c>
      <c r="C17" s="34" t="str">
        <f t="shared" si="5"/>
        <v/>
      </c>
      <c r="D17" s="34" t="str">
        <f t="shared" si="5"/>
        <v/>
      </c>
      <c r="E17" s="34" t="str">
        <f t="shared" si="5"/>
        <v/>
      </c>
      <c r="F17" s="34" t="str">
        <f t="shared" si="5"/>
        <v/>
      </c>
    </row>
    <row r="18" spans="1:6" ht="6.75" customHeight="1"/>
    <row r="19" spans="1:6" ht="15" customHeight="1">
      <c r="A19" s="185" t="s">
        <v>410</v>
      </c>
      <c r="B19" s="161"/>
      <c r="C19" s="161"/>
      <c r="D19" s="161"/>
      <c r="E19" s="161"/>
      <c r="F19" s="161"/>
    </row>
    <row r="20" spans="1:6" ht="19.5" customHeight="1">
      <c r="A20" s="184" t="s">
        <v>411</v>
      </c>
      <c r="B20" s="161"/>
      <c r="C20" s="161"/>
      <c r="D20" s="161"/>
      <c r="E20" s="161"/>
      <c r="F20" s="161"/>
    </row>
    <row r="21" spans="1:6" ht="14.25" customHeight="1">
      <c r="A21" s="47" t="s">
        <v>412</v>
      </c>
      <c r="B21" s="47" t="s">
        <v>188</v>
      </c>
      <c r="C21" s="47" t="s">
        <v>189</v>
      </c>
      <c r="D21" s="47" t="s">
        <v>413</v>
      </c>
      <c r="E21" s="47" t="s">
        <v>191</v>
      </c>
      <c r="F21" s="47" t="s">
        <v>414</v>
      </c>
    </row>
    <row r="22" spans="1:6" ht="128.25" customHeight="1">
      <c r="A22" s="48" t="str">
        <f t="array" ref="A22">IFERROR(IF(INDEX($J$100:$J$166,MATCH(1,$I$100:$I$166,0))=0,"",INDEX($J$100:$J$166,MATCH(1,$I$100:$I$166,0))),"")</f>
        <v/>
      </c>
      <c r="B22" s="48" t="str">
        <f t="array" ref="B22">IFERROR(IF(INDEX($K$100:$K$166,MATCH(1,$I$100:$I$166,0))=0,"",INDEX($K$100:$K$166,MATCH(1,$I$100:$I$166,0))),"")</f>
        <v/>
      </c>
      <c r="C22" s="48" t="str">
        <f t="array" ref="C22">IFERROR(IF(INDEX($L$100:$L$166,MATCH(1,$I$100:$I$166,0))=0,"",INDEX($L$100:$L$166,MATCH(1,$I$100:$I$166,0))),"")</f>
        <v/>
      </c>
      <c r="D22" s="48" t="str">
        <f t="array" ref="D22">IFERROR(IF(INDEX($M$100:$M$166,MATCH(1,$I$100:$I$166,0))=0,"",INDEX($M$100:$M$166,MATCH(1,$I$100:$I$166,0))),"")</f>
        <v/>
      </c>
      <c r="E22" s="48" t="str">
        <f t="array" ref="E22">IFERROR(IF(INDEX($N$100:$N$166,MATCH(1,$I$100:$I$166,0))=0,"",INDEX($N$100:$N$166,MATCH(1,$I$100:$I$166,0))),"")</f>
        <v/>
      </c>
      <c r="F22" s="48" t="str">
        <f t="shared" ref="F22:F88" si="6">IF($A22="","",IF(AND(B22="",C22="",E22=""),"Sem exigência registrada","Confira antes da matrícula"))</f>
        <v/>
      </c>
    </row>
    <row r="23" spans="1:6" ht="84" customHeight="1">
      <c r="A23" s="48" t="str">
        <f t="array" ref="A23">IFERROR(IF(INDEX($J$100:$J$166,MATCH(2,$I$100:$I$166,0))=0,"",INDEX($J$100:$J$166,MATCH(2,$I$100:$I$166,0))),"")</f>
        <v/>
      </c>
      <c r="B23" s="48" t="str">
        <f t="array" ref="B23">IFERROR(IF(INDEX($K$100:$K$166,MATCH(2,$I$100:$I$166,0))=0,"",INDEX($K$100:$K$166,MATCH(2,$I$100:$I$166,0))),"")</f>
        <v/>
      </c>
      <c r="C23" s="48" t="str">
        <f t="array" ref="C23">IFERROR(IF(INDEX($L$100:$L$166,MATCH(2,$I$100:$I$166,0))=0,"",INDEX($L$100:$L$166,MATCH(2,$I$100:$I$166,0))),"")</f>
        <v/>
      </c>
      <c r="D23" s="48" t="str">
        <f t="array" ref="D23">IFERROR(IF(INDEX($M$100:$M$166,MATCH(2,$I$100:$I$166,0))=0,"",INDEX($M$100:$M$166,MATCH(2,$I$100:$I$166,0))),"")</f>
        <v/>
      </c>
      <c r="E23" s="48" t="str">
        <f t="array" ref="E23">IFERROR(IF(INDEX($N$100:$N$166,MATCH(2,$I$100:$I$166,0))=0,"",INDEX($N$100:$N$166,MATCH(2,$I$100:$I$166,0))),"")</f>
        <v/>
      </c>
      <c r="F23" s="48" t="str">
        <f t="shared" si="6"/>
        <v/>
      </c>
    </row>
    <row r="24" spans="1:6" ht="90.75" customHeight="1">
      <c r="A24" s="48" t="str">
        <f t="array" ref="A24">IFERROR(IF(INDEX($J$100:$J$166,MATCH(3,$I$100:$I$166,0))=0,"",INDEX($J$100:$J$166,MATCH(3,$I$100:$I$166,0))),"")</f>
        <v/>
      </c>
      <c r="B24" s="48" t="str">
        <f t="array" ref="B24">IFERROR(IF(INDEX($K$100:$K$166,MATCH(3,$I$100:$I$166,0))=0,"",INDEX($K$100:$K$166,MATCH(3,$I$100:$I$166,0))),"")</f>
        <v/>
      </c>
      <c r="C24" s="48" t="str">
        <f t="array" ref="C24">IFERROR(IF(INDEX($L$100:$L$166,MATCH(3,$I$100:$I$166,0))=0,"",INDEX($L$100:$L$166,MATCH(3,$I$100:$I$166,0))),"")</f>
        <v/>
      </c>
      <c r="D24" s="48" t="str">
        <f t="array" ref="D24">IFERROR(IF(INDEX($M$100:$M$166,MATCH(3,$I$100:$I$166,0))=0,"",INDEX($M$100:$M$166,MATCH(3,$I$100:$I$166,0))),"")</f>
        <v/>
      </c>
      <c r="E24" s="48" t="str">
        <f t="array" ref="E24">IFERROR(IF(INDEX($N$100:$N$166,MATCH(3,$I$100:$I$166,0))=0,"",INDEX($N$100:$N$166,MATCH(3,$I$100:$I$166,0))),"")</f>
        <v/>
      </c>
      <c r="F24" s="48" t="str">
        <f t="shared" si="6"/>
        <v/>
      </c>
    </row>
    <row r="25" spans="1:6" ht="85.5" customHeight="1">
      <c r="A25" s="48" t="str">
        <f t="array" ref="A25">IFERROR(IF(INDEX($J$100:$J$166,MATCH(4,$I$100:$I$166,0))=0,"",INDEX($J$100:$J$166,MATCH(4,$I$100:$I$166,0))),"")</f>
        <v/>
      </c>
      <c r="B25" s="48" t="str">
        <f t="array" ref="B25">IFERROR(IF(INDEX($K$100:$K$166,MATCH(4,$I$100:$I$166,0))=0,"",INDEX($K$100:$K$166,MATCH(4,$I$100:$I$166,0))),"")</f>
        <v/>
      </c>
      <c r="C25" s="48" t="str">
        <f t="array" ref="C25">IFERROR(IF(INDEX($L$100:$L$166,MATCH(4,$I$100:$I$166,0))=0,"",INDEX($L$100:$L$166,MATCH(4,$I$100:$I$166,0))),"")</f>
        <v/>
      </c>
      <c r="D25" s="48" t="str">
        <f t="array" ref="D25">IFERROR(IF(INDEX($M$100:$M$166,MATCH(4,$I$100:$I$166,0))=0,"",INDEX($M$100:$M$166,MATCH(4,$I$100:$I$166,0))),"")</f>
        <v/>
      </c>
      <c r="E25" s="48" t="str">
        <f t="array" ref="E25">IFERROR(IF(INDEX($N$100:$N$166,MATCH(4,$I$100:$I$166,0))=0,"",INDEX($N$100:$N$166,MATCH(4,$I$100:$I$166,0))),"")</f>
        <v/>
      </c>
      <c r="F25" s="48" t="str">
        <f t="shared" si="6"/>
        <v/>
      </c>
    </row>
    <row r="26" spans="1:6" ht="73.5" customHeight="1">
      <c r="A26" s="48" t="str">
        <f t="array" ref="A26">IFERROR(IF(INDEX($J$100:$J$166,MATCH(5,$I$100:$I$166,0))=0,"",INDEX($J$100:$J$166,MATCH(5,$I$100:$I$166,0))),"")</f>
        <v/>
      </c>
      <c r="B26" s="48" t="str">
        <f t="array" ref="B26">IFERROR(IF(INDEX($K$100:$K$166,MATCH(5,$I$100:$I$166,0))=0,"",INDEX($K$100:$K$166,MATCH(5,$I$100:$I$166,0))),"")</f>
        <v/>
      </c>
      <c r="C26" s="48" t="str">
        <f t="array" ref="C26">IFERROR(IF(INDEX($L$100:$L$166,MATCH(5,$I$100:$I$166,0))=0,"",INDEX($L$100:$L$166,MATCH(5,$I$100:$I$166,0))),"")</f>
        <v/>
      </c>
      <c r="D26" s="48" t="str">
        <f t="array" ref="D26">IFERROR(IF(INDEX($M$100:$M$166,MATCH(5,$I$100:$I$166,0))=0,"",INDEX($M$100:$M$166,MATCH(5,$I$100:$I$166,0))),"")</f>
        <v/>
      </c>
      <c r="E26" s="48" t="str">
        <f t="array" ref="E26">IFERROR(IF(INDEX($N$100:$N$166,MATCH(5,$I$100:$I$166,0))=0,"",INDEX($N$100:$N$166,MATCH(5,$I$100:$I$166,0))),"")</f>
        <v/>
      </c>
      <c r="F26" s="48" t="str">
        <f t="shared" si="6"/>
        <v/>
      </c>
    </row>
    <row r="27" spans="1:6" ht="73.5" customHeight="1">
      <c r="A27" s="48" t="str">
        <f t="array" ref="A27">IFERROR(IF(INDEX($J$100:$J$166,MATCH(6,$I$100:$I$166,0))=0,"",INDEX($J$100:$J$166,MATCH(6,$I$100:$I$166,0))),"")</f>
        <v/>
      </c>
      <c r="B27" s="48" t="str">
        <f t="array" ref="B27">IFERROR(IF(INDEX($K$100:$K$166,MATCH(6,$I$100:$I$166,0))=0,"",INDEX($K$100:$K$166,MATCH(6,$I$100:$I$166,0))),"")</f>
        <v/>
      </c>
      <c r="C27" s="48" t="str">
        <f t="array" ref="C27">IFERROR(IF(INDEX($L$100:$L$166,MATCH(6,$I$100:$I$166,0))=0,"",INDEX($L$100:$L$166,MATCH(6,$I$100:$I$166,0))),"")</f>
        <v/>
      </c>
      <c r="D27" s="48" t="str">
        <f t="array" ref="D27">IFERROR(IF(INDEX($M$100:$M$166,MATCH(6,$I$100:$I$166,0))=0,"",INDEX($M$100:$M$166,MATCH(6,$I$100:$I$166,0))),"")</f>
        <v/>
      </c>
      <c r="E27" s="48" t="str">
        <f t="array" ref="E27">IFERROR(IF(INDEX($N$100:$N$166,MATCH(6,$I$100:$I$166,0))=0,"",INDEX($N$100:$N$166,MATCH(6,$I$100:$I$166,0))),"")</f>
        <v/>
      </c>
      <c r="F27" s="48" t="str">
        <f t="shared" si="6"/>
        <v/>
      </c>
    </row>
    <row r="28" spans="1:6" ht="73.5" customHeight="1">
      <c r="A28" s="48" t="str">
        <f t="array" ref="A28">IFERROR(IF(INDEX($J$100:$J$166,MATCH(7,$I$100:$I$166,0))=0,"",INDEX($J$100:$J$166,MATCH(7,$I$100:$I$166,0))),"")</f>
        <v/>
      </c>
      <c r="B28" s="48" t="str">
        <f t="array" ref="B28">IFERROR(IF(INDEX($K$100:$K$166,MATCH(7,$I$100:$I$166,0))=0,"",INDEX($K$100:$K$166,MATCH(7,$I$100:$I$166,0))),"")</f>
        <v/>
      </c>
      <c r="C28" s="48" t="str">
        <f t="array" ref="C28">IFERROR(IF(INDEX($L$100:$L$166,MATCH(7,$I$100:$I$166,0))=0,"",INDEX($L$100:$L$166,MATCH(7,$I$100:$I$166,0))),"")</f>
        <v/>
      </c>
      <c r="D28" s="48" t="str">
        <f t="array" ref="D28">IFERROR(IF(INDEX($M$100:$M$166,MATCH(7,$I$100:$I$166,0))=0,"",INDEX($M$100:$M$166,MATCH(7,$I$100:$I$166,0))),"")</f>
        <v/>
      </c>
      <c r="E28" s="48" t="str">
        <f t="array" ref="E28">IFERROR(IF(INDEX($N$100:$N$166,MATCH(7,$I$100:$I$166,0))=0,"",INDEX($N$100:$N$166,MATCH(7,$I$100:$I$166,0))),"")</f>
        <v/>
      </c>
      <c r="F28" s="48" t="str">
        <f t="shared" si="6"/>
        <v/>
      </c>
    </row>
    <row r="29" spans="1:6" ht="73.5" customHeight="1">
      <c r="A29" s="48" t="str">
        <f t="array" ref="A29">IFERROR(IF(INDEX($J$100:$J$166,MATCH(8,$I$100:$I$166,0))=0,"",INDEX($J$100:$J$166,MATCH(8,$I$100:$I$166,0))),"")</f>
        <v/>
      </c>
      <c r="B29" s="48" t="str">
        <f t="array" ref="B29">IFERROR(IF(INDEX($K$100:$K$166,MATCH(8,$I$100:$I$166,0))=0,"",INDEX($K$100:$K$166,MATCH(8,$I$100:$I$166,0))),"")</f>
        <v/>
      </c>
      <c r="C29" s="48" t="str">
        <f t="array" ref="C29">IFERROR(IF(INDEX($L$100:$L$166,MATCH(8,$I$100:$I$166,0))=0,"",INDEX($L$100:$L$166,MATCH(8,$I$100:$I$166,0))),"")</f>
        <v/>
      </c>
      <c r="D29" s="48" t="str">
        <f t="array" ref="D29">IFERROR(IF(INDEX($M$100:$M$166,MATCH(8,$I$100:$I$166,0))=0,"",INDEX($M$100:$M$166,MATCH(8,$I$100:$I$166,0))),"")</f>
        <v/>
      </c>
      <c r="E29" s="48" t="str">
        <f t="array" ref="E29">IFERROR(IF(INDEX($N$100:$N$166,MATCH(8,$I$100:$I$166,0))=0,"",INDEX($N$100:$N$166,MATCH(8,$I$100:$I$166,0))),"")</f>
        <v/>
      </c>
      <c r="F29" s="48" t="str">
        <f t="shared" si="6"/>
        <v/>
      </c>
    </row>
    <row r="30" spans="1:6" ht="73.5" customHeight="1">
      <c r="A30" s="48" t="str">
        <f t="array" ref="A30">IFERROR(IF(INDEX($J$100:$J$166,MATCH(9,$I$100:$I$166,0))=0,"",INDEX($J$100:$J$166,MATCH(9,$I$100:$I$166,0))),"")</f>
        <v/>
      </c>
      <c r="B30" s="48" t="str">
        <f t="array" ref="B30">IFERROR(IF(INDEX($K$100:$K$166,MATCH(9,$I$100:$I$166,0))=0,"",INDEX($K$100:$K$166,MATCH(9,$I$100:$I$166,0))),"")</f>
        <v/>
      </c>
      <c r="C30" s="48" t="str">
        <f t="array" ref="C30">IFERROR(IF(INDEX($L$100:$L$166,MATCH(9,$I$100:$I$166,0))=0,"",INDEX($L$100:$L$166,MATCH(9,$I$100:$I$166,0))),"")</f>
        <v/>
      </c>
      <c r="D30" s="48" t="str">
        <f t="array" ref="D30">IFERROR(IF(INDEX($M$100:$M$166,MATCH(9,$I$100:$I$166,0))=0,"",INDEX($M$100:$M$166,MATCH(9,$I$100:$I$166,0))),"")</f>
        <v/>
      </c>
      <c r="E30" s="48" t="str">
        <f t="array" ref="E30">IFERROR(IF(INDEX($N$100:$N$166,MATCH(9,$I$100:$I$166,0))=0,"",INDEX($N$100:$N$166,MATCH(9,$I$100:$I$166,0))),"")</f>
        <v/>
      </c>
      <c r="F30" s="48" t="str">
        <f t="shared" si="6"/>
        <v/>
      </c>
    </row>
    <row r="31" spans="1:6" ht="73.5" customHeight="1">
      <c r="A31" s="48" t="str">
        <f t="array" ref="A31">IFERROR(IF(INDEX($J$100:$J$166,MATCH(10,$I$100:$I$166,0))=0,"",INDEX($J$100:$J$166,MATCH(10,$I$100:$I$166,0))),"")</f>
        <v/>
      </c>
      <c r="B31" s="48" t="str">
        <f t="array" ref="B31">IFERROR(IF(INDEX($K$100:$K$166,MATCH(10,$I$100:$I$166,0))=0,"",INDEX($K$100:$K$166,MATCH(10,$I$100:$I$166,0))),"")</f>
        <v/>
      </c>
      <c r="C31" s="48" t="str">
        <f t="array" ref="C31">IFERROR(IF(INDEX($L$100:$L$166,MATCH(10,$I$100:$I$166,0))=0,"",INDEX($L$100:$L$166,MATCH(10,$I$100:$I$166,0))),"")</f>
        <v/>
      </c>
      <c r="D31" s="48" t="str">
        <f t="array" ref="D31">IFERROR(IF(INDEX($M$100:$M$166,MATCH(10,$I$100:$I$166,0))=0,"",INDEX($M$100:$M$166,MATCH(10,$I$100:$I$166,0))),"")</f>
        <v/>
      </c>
      <c r="E31" s="48" t="str">
        <f t="array" ref="E31">IFERROR(IF(INDEX($N$100:$N$166,MATCH(10,$I$100:$I$166,0))=0,"",INDEX($N$100:$N$166,MATCH(10,$I$100:$I$166,0))),"")</f>
        <v/>
      </c>
      <c r="F31" s="48" t="str">
        <f t="shared" si="6"/>
        <v/>
      </c>
    </row>
    <row r="32" spans="1:6" ht="73.5" customHeight="1">
      <c r="A32" s="48" t="str">
        <f t="array" ref="A32">IFERROR(IF(INDEX($J$100:$J$166,MATCH(11,$I$100:$I$166,0))=0,"",INDEX($J$100:$J$166,MATCH(11,$I$100:$I$166,0))),"")</f>
        <v/>
      </c>
      <c r="B32" s="48" t="str">
        <f t="array" ref="B32">IFERROR(IF(INDEX($K$100:$K$166,MATCH(11,$I$100:$I$166,0))=0,"",INDEX($K$100:$K$166,MATCH(11,$I$100:$I$166,0))),"")</f>
        <v/>
      </c>
      <c r="C32" s="48" t="str">
        <f t="array" ref="C32">IFERROR(IF(INDEX($L$100:$L$166,MATCH(11,$I$100:$I$166,0))=0,"",INDEX($L$100:$L$166,MATCH(11,$I$100:$I$166,0))),"")</f>
        <v/>
      </c>
      <c r="D32" s="48" t="str">
        <f t="array" ref="D32">IFERROR(IF(INDEX($M$100:$M$166,MATCH(11,$I$100:$I$166,0))=0,"",INDEX($M$100:$M$166,MATCH(11,$I$100:$I$166,0))),"")</f>
        <v/>
      </c>
      <c r="E32" s="48" t="str">
        <f t="array" ref="E32">IFERROR(IF(INDEX($N$100:$N$166,MATCH(11,$I$100:$I$166,0))=0,"",INDEX($N$100:$N$166,MATCH(11,$I$100:$I$166,0))),"")</f>
        <v/>
      </c>
      <c r="F32" s="48" t="str">
        <f t="shared" si="6"/>
        <v/>
      </c>
    </row>
    <row r="33" spans="1:6" ht="73.5" customHeight="1">
      <c r="A33" s="48" t="str">
        <f t="array" ref="A33">IFERROR(IF(INDEX($J$100:$J$166,MATCH(12,$I$100:$I$166,0))=0,"",INDEX($J$100:$J$166,MATCH(12,$I$100:$I$166,0))),"")</f>
        <v/>
      </c>
      <c r="B33" s="48" t="str">
        <f t="array" ref="B33">IFERROR(IF(INDEX($K$100:$K$166,MATCH(12,$I$100:$I$166,0))=0,"",INDEX($K$100:$K$166,MATCH(12,$I$100:$I$166,0))),"")</f>
        <v/>
      </c>
      <c r="C33" s="48" t="str">
        <f t="array" ref="C33">IFERROR(IF(INDEX($L$100:$L$166,MATCH(12,$I$100:$I$166,0))=0,"",INDEX($L$100:$L$166,MATCH(12,$I$100:$I$166,0))),"")</f>
        <v/>
      </c>
      <c r="D33" s="48" t="str">
        <f t="array" ref="D33">IFERROR(IF(INDEX($M$100:$M$166,MATCH(12,$I$100:$I$166,0))=0,"",INDEX($M$100:$M$166,MATCH(12,$I$100:$I$166,0))),"")</f>
        <v/>
      </c>
      <c r="E33" s="48" t="str">
        <f t="array" ref="E33">IFERROR(IF(INDEX($N$100:$N$166,MATCH(12,$I$100:$I$166,0))=0,"",INDEX($N$100:$N$166,MATCH(12,$I$100:$I$166,0))),"")</f>
        <v/>
      </c>
      <c r="F33" s="48" t="str">
        <f t="shared" si="6"/>
        <v/>
      </c>
    </row>
    <row r="34" spans="1:6" ht="73.5" customHeight="1">
      <c r="A34" s="48" t="str">
        <f t="array" ref="A34">IFERROR(IF(INDEX($J$100:$J$166,MATCH(13,$I$100:$I$166,0))=0,"",INDEX($J$100:$J$166,MATCH(13,$I$100:$I$166,0))),"")</f>
        <v/>
      </c>
      <c r="B34" s="48" t="str">
        <f t="array" ref="B34">IFERROR(IF(INDEX($K$100:$K$166,MATCH(13,$I$100:$I$166,0))=0,"",INDEX($K$100:$K$166,MATCH(13,$I$100:$I$166,0))),"")</f>
        <v/>
      </c>
      <c r="C34" s="48" t="str">
        <f t="array" ref="C34">IFERROR(IF(INDEX($L$100:$L$166,MATCH(13,$I$100:$I$166,0))=0,"",INDEX($L$100:$L$166,MATCH(13,$I$100:$I$166,0))),"")</f>
        <v/>
      </c>
      <c r="D34" s="48" t="str">
        <f t="array" ref="D34">IFERROR(IF(INDEX($M$100:$M$166,MATCH(13,$I$100:$I$166,0))=0,"",INDEX($M$100:$M$166,MATCH(13,$I$100:$I$166,0))),"")</f>
        <v/>
      </c>
      <c r="E34" s="48" t="str">
        <f t="array" ref="E34">IFERROR(IF(INDEX($N$100:$N$166,MATCH(13,$I$100:$I$166,0))=0,"",INDEX($N$100:$N$166,MATCH(13,$I$100:$I$166,0))),"")</f>
        <v/>
      </c>
      <c r="F34" s="48" t="str">
        <f t="shared" si="6"/>
        <v/>
      </c>
    </row>
    <row r="35" spans="1:6" ht="73.5" customHeight="1">
      <c r="A35" s="48" t="str">
        <f t="array" ref="A35">IFERROR(IF(INDEX($J$100:$J$166,MATCH(14,$I$100:$I$166,0))=0,"",INDEX($J$100:$J$166,MATCH(14,$I$100:$I$166,0))),"")</f>
        <v/>
      </c>
      <c r="B35" s="48" t="str">
        <f t="array" ref="B35">IFERROR(IF(INDEX($K$100:$K$166,MATCH(14,$I$100:$I$166,0))=0,"",INDEX($K$100:$K$166,MATCH(14,$I$100:$I$166,0))),"")</f>
        <v/>
      </c>
      <c r="C35" s="48" t="str">
        <f t="array" ref="C35">IFERROR(IF(INDEX($L$100:$L$166,MATCH(14,$I$100:$I$166,0))=0,"",INDEX($L$100:$L$166,MATCH(14,$I$100:$I$166,0))),"")</f>
        <v/>
      </c>
      <c r="D35" s="48" t="str">
        <f t="array" ref="D35">IFERROR(IF(INDEX($M$100:$M$166,MATCH(14,$I$100:$I$166,0))=0,"",INDEX($M$100:$M$166,MATCH(14,$I$100:$I$166,0))),"")</f>
        <v/>
      </c>
      <c r="E35" s="48" t="str">
        <f t="array" ref="E35">IFERROR(IF(INDEX($N$100:$N$166,MATCH(14,$I$100:$I$166,0))=0,"",INDEX($N$100:$N$166,MATCH(14,$I$100:$I$166,0))),"")</f>
        <v/>
      </c>
      <c r="F35" s="48" t="str">
        <f t="shared" si="6"/>
        <v/>
      </c>
    </row>
    <row r="36" spans="1:6" ht="73.5" customHeight="1">
      <c r="A36" s="48" t="str">
        <f t="array" ref="A36">IFERROR(IF(INDEX($J$100:$J$166,MATCH(15,$I$100:$I$166,0))=0,"",INDEX($J$100:$J$166,MATCH(15,$I$100:$I$166,0))),"")</f>
        <v/>
      </c>
      <c r="B36" s="48" t="str">
        <f t="array" ref="B36">IFERROR(IF(INDEX($K$100:$K$166,MATCH(15,$I$100:$I$166,0))=0,"",INDEX($K$100:$K$166,MATCH(15,$I$100:$I$166,0))),"")</f>
        <v/>
      </c>
      <c r="C36" s="48" t="str">
        <f t="array" ref="C36">IFERROR(IF(INDEX($L$100:$L$166,MATCH(15,$I$100:$I$166,0))=0,"",INDEX($L$100:$L$166,MATCH(15,$I$100:$I$166,0))),"")</f>
        <v/>
      </c>
      <c r="D36" s="48" t="str">
        <f t="array" ref="D36">IFERROR(IF(INDEX($M$100:$M$166,MATCH(15,$I$100:$I$166,0))=0,"",INDEX($M$100:$M$166,MATCH(15,$I$100:$I$166,0))),"")</f>
        <v/>
      </c>
      <c r="E36" s="48" t="str">
        <f t="array" ref="E36">IFERROR(IF(INDEX($N$100:$N$166,MATCH(15,$I$100:$I$166,0))=0,"",INDEX($N$100:$N$166,MATCH(15,$I$100:$I$166,0))),"")</f>
        <v/>
      </c>
      <c r="F36" s="48" t="str">
        <f t="shared" si="6"/>
        <v/>
      </c>
    </row>
    <row r="37" spans="1:6" ht="73.5" customHeight="1">
      <c r="A37" s="48" t="str">
        <f t="array" ref="A37">IFERROR(IF(INDEX($J$100:$J$166,MATCH(16,$I$100:$I$166,0))=0,"",INDEX($J$100:$J$166,MATCH(16,$I$100:$I$166,0))),"")</f>
        <v/>
      </c>
      <c r="B37" s="48" t="str">
        <f t="array" ref="B37">IFERROR(IF(INDEX($K$100:$K$166,MATCH(16,$I$100:$I$166,0))=0,"",INDEX($K$100:$K$166,MATCH(16,$I$100:$I$166,0))),"")</f>
        <v/>
      </c>
      <c r="C37" s="48" t="str">
        <f t="array" ref="C37">IFERROR(IF(INDEX($L$100:$L$166,MATCH(16,$I$100:$I$166,0))=0,"",INDEX($L$100:$L$166,MATCH(16,$I$100:$I$166,0))),"")</f>
        <v/>
      </c>
      <c r="D37" s="48" t="str">
        <f t="array" ref="D37">IFERROR(IF(INDEX($M$100:$M$166,MATCH(16,$I$100:$I$166,0))=0,"",INDEX($M$100:$M$166,MATCH(16,$I$100:$I$166,0))),"")</f>
        <v/>
      </c>
      <c r="E37" s="48" t="str">
        <f t="array" ref="E37">IFERROR(IF(INDEX($N$100:$N$166,MATCH(16,$I$100:$I$166,0))=0,"",INDEX($N$100:$N$166,MATCH(16,$I$100:$I$166,0))),"")</f>
        <v/>
      </c>
      <c r="F37" s="48" t="str">
        <f t="shared" si="6"/>
        <v/>
      </c>
    </row>
    <row r="38" spans="1:6" ht="73.5" customHeight="1">
      <c r="A38" s="48" t="str">
        <f t="array" ref="A38">IFERROR(IF(INDEX($J$100:$J$166,MATCH(17,$I$100:$I$166,0))=0,"",INDEX($J$100:$J$166,MATCH(17,$I$100:$I$166,0))),"")</f>
        <v/>
      </c>
      <c r="B38" s="48" t="str">
        <f t="array" ref="B38">IFERROR(IF(INDEX($K$100:$K$166,MATCH(17,$I$100:$I$166,0))=0,"",INDEX($K$100:$K$166,MATCH(17,$I$100:$I$166,0))),"")</f>
        <v/>
      </c>
      <c r="C38" s="48" t="str">
        <f t="array" ref="C38">IFERROR(IF(INDEX($L$100:$L$166,MATCH(17,$I$100:$I$166,0))=0,"",INDEX($L$100:$L$166,MATCH(17,$I$100:$I$166,0))),"")</f>
        <v/>
      </c>
      <c r="D38" s="48" t="str">
        <f t="array" ref="D38">IFERROR(IF(INDEX($M$100:$M$166,MATCH(17,$I$100:$I$166,0))=0,"",INDEX($M$100:$M$166,MATCH(17,$I$100:$I$166,0))),"")</f>
        <v/>
      </c>
      <c r="E38" s="48" t="str">
        <f t="array" ref="E38">IFERROR(IF(INDEX($N$100:$N$166,MATCH(17,$I$100:$I$166,0))=0,"",INDEX($N$100:$N$166,MATCH(17,$I$100:$I$166,0))),"")</f>
        <v/>
      </c>
      <c r="F38" s="48" t="str">
        <f t="shared" si="6"/>
        <v/>
      </c>
    </row>
    <row r="39" spans="1:6" ht="73.5" customHeight="1">
      <c r="A39" s="48" t="str">
        <f t="array" ref="A39">IFERROR(IF(INDEX($J$100:$J$166,MATCH(18,$I$100:$I$166,0))=0,"",INDEX($J$100:$J$166,MATCH(18,$I$100:$I$166,0))),"")</f>
        <v/>
      </c>
      <c r="B39" s="48" t="str">
        <f t="array" ref="B39">IFERROR(IF(INDEX($K$100:$K$166,MATCH(18,$I$100:$I$166,0))=0,"",INDEX($K$100:$K$166,MATCH(18,$I$100:$I$166,0))),"")</f>
        <v/>
      </c>
      <c r="C39" s="48" t="str">
        <f t="array" ref="C39">IFERROR(IF(INDEX($L$100:$L$166,MATCH(18,$I$100:$I$166,0))=0,"",INDEX($L$100:$L$166,MATCH(18,$I$100:$I$166,0))),"")</f>
        <v/>
      </c>
      <c r="D39" s="48" t="str">
        <f t="array" ref="D39">IFERROR(IF(INDEX($M$100:$M$166,MATCH(18,$I$100:$I$166,0))=0,"",INDEX($M$100:$M$166,MATCH(18,$I$100:$I$166,0))),"")</f>
        <v/>
      </c>
      <c r="E39" s="48" t="str">
        <f t="array" ref="E39">IFERROR(IF(INDEX($N$100:$N$166,MATCH(18,$I$100:$I$166,0))=0,"",INDEX($N$100:$N$166,MATCH(18,$I$100:$I$166,0))),"")</f>
        <v/>
      </c>
      <c r="F39" s="48" t="str">
        <f t="shared" si="6"/>
        <v/>
      </c>
    </row>
    <row r="40" spans="1:6" ht="73.5" customHeight="1">
      <c r="A40" s="48" t="str">
        <f t="array" ref="A40">IFERROR(IF(INDEX($J$100:$J$166,MATCH(19,$I$100:$I$166,0))=0,"",INDEX($J$100:$J$166,MATCH(19,$I$100:$I$166,0))),"")</f>
        <v/>
      </c>
      <c r="B40" s="48" t="str">
        <f t="array" ref="B40">IFERROR(IF(INDEX($K$100:$K$166,MATCH(19,$I$100:$I$166,0))=0,"",INDEX($K$100:$K$166,MATCH(19,$I$100:$I$166,0))),"")</f>
        <v/>
      </c>
      <c r="C40" s="48" t="str">
        <f t="array" ref="C40">IFERROR(IF(INDEX($L$100:$L$166,MATCH(19,$I$100:$I$166,0))=0,"",INDEX($L$100:$L$166,MATCH(19,$I$100:$I$166,0))),"")</f>
        <v/>
      </c>
      <c r="D40" s="48" t="str">
        <f t="array" ref="D40">IFERROR(IF(INDEX($M$100:$M$166,MATCH(19,$I$100:$I$166,0))=0,"",INDEX($M$100:$M$166,MATCH(19,$I$100:$I$166,0))),"")</f>
        <v/>
      </c>
      <c r="E40" s="48" t="str">
        <f t="array" ref="E40">IFERROR(IF(INDEX($N$100:$N$166,MATCH(19,$I$100:$I$166,0))=0,"",INDEX($N$100:$N$166,MATCH(19,$I$100:$I$166,0))),"")</f>
        <v/>
      </c>
      <c r="F40" s="48" t="str">
        <f t="shared" si="6"/>
        <v/>
      </c>
    </row>
    <row r="41" spans="1:6" ht="73.5" customHeight="1">
      <c r="A41" s="48" t="str">
        <f t="array" ref="A41">IFERROR(IF(INDEX($J$100:$J$166,MATCH(20,$I$100:$I$166,0))=0,"",INDEX($J$100:$J$166,MATCH(20,$I$100:$I$166,0))),"")</f>
        <v/>
      </c>
      <c r="B41" s="48" t="str">
        <f t="array" ref="B41">IFERROR(IF(INDEX($K$100:$K$166,MATCH(20,$I$100:$I$166,0))=0,"",INDEX($K$100:$K$166,MATCH(20,$I$100:$I$166,0))),"")</f>
        <v/>
      </c>
      <c r="C41" s="48" t="str">
        <f t="array" ref="C41">IFERROR(IF(INDEX($L$100:$L$166,MATCH(20,$I$100:$I$166,0))=0,"",INDEX($L$100:$L$166,MATCH(20,$I$100:$I$166,0))),"")</f>
        <v/>
      </c>
      <c r="D41" s="48" t="str">
        <f t="array" ref="D41">IFERROR(IF(INDEX($M$100:$M$166,MATCH(20,$I$100:$I$166,0))=0,"",INDEX($M$100:$M$166,MATCH(20,$I$100:$I$166,0))),"")</f>
        <v/>
      </c>
      <c r="E41" s="48" t="str">
        <f t="array" ref="E41">IFERROR(IF(INDEX($N$100:$N$166,MATCH(20,$I$100:$I$166,0))=0,"",INDEX($N$100:$N$166,MATCH(20,$I$100:$I$166,0))),"")</f>
        <v/>
      </c>
      <c r="F41" s="48" t="str">
        <f t="shared" si="6"/>
        <v/>
      </c>
    </row>
    <row r="42" spans="1:6" ht="73.5" customHeight="1">
      <c r="A42" s="48" t="str">
        <f t="array" ref="A42">IFERROR(IF(INDEX($J$100:$J$166,MATCH(21,$I$100:$I$166,0))=0,"",INDEX($J$100:$J$166,MATCH(21,$I$100:$I$166,0))),"")</f>
        <v/>
      </c>
      <c r="B42" s="48" t="str">
        <f t="array" ref="B42">IFERROR(IF(INDEX($K$100:$K$166,MATCH(21,$I$100:$I$166,0))=0,"",INDEX($K$100:$K$166,MATCH(21,$I$100:$I$166,0))),"")</f>
        <v/>
      </c>
      <c r="C42" s="48" t="str">
        <f t="array" ref="C42">IFERROR(IF(INDEX($L$100:$L$166,MATCH(21,$I$100:$I$166,0))=0,"",INDEX($L$100:$L$166,MATCH(21,$I$100:$I$166,0))),"")</f>
        <v/>
      </c>
      <c r="D42" s="48" t="str">
        <f t="array" ref="D42">IFERROR(IF(INDEX($M$100:$M$166,MATCH(21,$I$100:$I$166,0))=0,"",INDEX($M$100:$M$166,MATCH(21,$I$100:$I$166,0))),"")</f>
        <v/>
      </c>
      <c r="E42" s="48" t="str">
        <f t="array" ref="E42">IFERROR(IF(INDEX($N$100:$N$166,MATCH(21,$I$100:$I$166,0))=0,"",INDEX($N$100:$N$166,MATCH(21,$I$100:$I$166,0))),"")</f>
        <v/>
      </c>
      <c r="F42" s="48" t="str">
        <f t="shared" si="6"/>
        <v/>
      </c>
    </row>
    <row r="43" spans="1:6" ht="73.5" customHeight="1">
      <c r="A43" s="48" t="str">
        <f t="array" ref="A43">IFERROR(IF(INDEX($J$100:$J$166,MATCH(22,$I$100:$I$166,0))=0,"",INDEX($J$100:$J$166,MATCH(22,$I$100:$I$166,0))),"")</f>
        <v/>
      </c>
      <c r="B43" s="48" t="str">
        <f t="array" ref="B43">IFERROR(IF(INDEX($K$100:$K$166,MATCH(22,$I$100:$I$166,0))=0,"",INDEX($K$100:$K$166,MATCH(22,$I$100:$I$166,0))),"")</f>
        <v/>
      </c>
      <c r="C43" s="48" t="str">
        <f t="array" ref="C43">IFERROR(IF(INDEX($L$100:$L$166,MATCH(22,$I$100:$I$166,0))=0,"",INDEX($L$100:$L$166,MATCH(22,$I$100:$I$166,0))),"")</f>
        <v/>
      </c>
      <c r="D43" s="48" t="str">
        <f t="array" ref="D43">IFERROR(IF(INDEX($M$100:$M$166,MATCH(22,$I$100:$I$166,0))=0,"",INDEX($M$100:$M$166,MATCH(22,$I$100:$I$166,0))),"")</f>
        <v/>
      </c>
      <c r="E43" s="48" t="str">
        <f t="array" ref="E43">IFERROR(IF(INDEX($N$100:$N$166,MATCH(22,$I$100:$I$166,0))=0,"",INDEX($N$100:$N$166,MATCH(22,$I$100:$I$166,0))),"")</f>
        <v/>
      </c>
      <c r="F43" s="48" t="str">
        <f t="shared" si="6"/>
        <v/>
      </c>
    </row>
    <row r="44" spans="1:6" ht="73.5" customHeight="1">
      <c r="A44" s="48" t="str">
        <f t="array" ref="A44">IFERROR(IF(INDEX($J$100:$J$166,MATCH(23,$I$100:$I$166,0))=0,"",INDEX($J$100:$J$166,MATCH(23,$I$100:$I$166,0))),"")</f>
        <v/>
      </c>
      <c r="B44" s="48" t="str">
        <f t="array" ref="B44">IFERROR(IF(INDEX($K$100:$K$166,MATCH(23,$I$100:$I$166,0))=0,"",INDEX($K$100:$K$166,MATCH(23,$I$100:$I$166,0))),"")</f>
        <v/>
      </c>
      <c r="C44" s="48" t="str">
        <f t="array" ref="C44">IFERROR(IF(INDEX($L$100:$L$166,MATCH(23,$I$100:$I$166,0))=0,"",INDEX($L$100:$L$166,MATCH(23,$I$100:$I$166,0))),"")</f>
        <v/>
      </c>
      <c r="D44" s="48" t="str">
        <f t="array" ref="D44">IFERROR(IF(INDEX($M$100:$M$166,MATCH(23,$I$100:$I$166,0))=0,"",INDEX($M$100:$M$166,MATCH(23,$I$100:$I$166,0))),"")</f>
        <v/>
      </c>
      <c r="E44" s="48" t="str">
        <f t="array" ref="E44">IFERROR(IF(INDEX($N$100:$N$166,MATCH(23,$I$100:$I$166,0))=0,"",INDEX($N$100:$N$166,MATCH(23,$I$100:$I$166,0))),"")</f>
        <v/>
      </c>
      <c r="F44" s="48" t="str">
        <f t="shared" si="6"/>
        <v/>
      </c>
    </row>
    <row r="45" spans="1:6" ht="73.5" customHeight="1">
      <c r="A45" s="48" t="str">
        <f t="array" ref="A45">IFERROR(IF(INDEX($J$100:$J$166,MATCH(24,$I$100:$I$166,0))=0,"",INDEX($J$100:$J$166,MATCH(24,$I$100:$I$166,0))),"")</f>
        <v/>
      </c>
      <c r="B45" s="48" t="str">
        <f t="array" ref="B45">IFERROR(IF(INDEX($K$100:$K$166,MATCH(24,$I$100:$I$166,0))=0,"",INDEX($K$100:$K$166,MATCH(24,$I$100:$I$166,0))),"")</f>
        <v/>
      </c>
      <c r="C45" s="48" t="str">
        <f t="array" ref="C45">IFERROR(IF(INDEX($L$100:$L$166,MATCH(24,$I$100:$I$166,0))=0,"",INDEX($L$100:$L$166,MATCH(24,$I$100:$I$166,0))),"")</f>
        <v/>
      </c>
      <c r="D45" s="48" t="str">
        <f t="array" ref="D45">IFERROR(IF(INDEX($M$100:$M$166,MATCH(24,$I$100:$I$166,0))=0,"",INDEX($M$100:$M$166,MATCH(24,$I$100:$I$166,0))),"")</f>
        <v/>
      </c>
      <c r="E45" s="48" t="str">
        <f t="array" ref="E45">IFERROR(IF(INDEX($N$100:$N$166,MATCH(24,$I$100:$I$166,0))=0,"",INDEX($N$100:$N$166,MATCH(24,$I$100:$I$166,0))),"")</f>
        <v/>
      </c>
      <c r="F45" s="48" t="str">
        <f t="shared" si="6"/>
        <v/>
      </c>
    </row>
    <row r="46" spans="1:6" ht="73.5" customHeight="1">
      <c r="A46" s="48" t="str">
        <f t="array" ref="A46">IFERROR(IF(INDEX($J$100:$J$166,MATCH(25,$I$100:$I$166,0))=0,"",INDEX($J$100:$J$166,MATCH(25,$I$100:$I$166,0))),"")</f>
        <v/>
      </c>
      <c r="B46" s="48" t="str">
        <f t="array" ref="B46">IFERROR(IF(INDEX($K$100:$K$166,MATCH(25,$I$100:$I$166,0))=0,"",INDEX($K$100:$K$166,MATCH(25,$I$100:$I$166,0))),"")</f>
        <v/>
      </c>
      <c r="C46" s="48" t="str">
        <f t="array" ref="C46">IFERROR(IF(INDEX($L$100:$L$166,MATCH(25,$I$100:$I$166,0))=0,"",INDEX($L$100:$L$166,MATCH(25,$I$100:$I$166,0))),"")</f>
        <v/>
      </c>
      <c r="D46" s="48" t="str">
        <f t="array" ref="D46">IFERROR(IF(INDEX($M$100:$M$166,MATCH(25,$I$100:$I$166,0))=0,"",INDEX($M$100:$M$166,MATCH(25,$I$100:$I$166,0))),"")</f>
        <v/>
      </c>
      <c r="E46" s="48" t="str">
        <f t="array" ref="E46">IFERROR(IF(INDEX($N$100:$N$166,MATCH(25,$I$100:$I$166,0))=0,"",INDEX($N$100:$N$166,MATCH(25,$I$100:$I$166,0))),"")</f>
        <v/>
      </c>
      <c r="F46" s="48" t="str">
        <f t="shared" si="6"/>
        <v/>
      </c>
    </row>
    <row r="47" spans="1:6" ht="73.5" customHeight="1">
      <c r="A47" s="48" t="str">
        <f t="array" ref="A47">IFERROR(IF(INDEX($J$100:$J$166,MATCH(26,$I$100:$I$166,0))=0,"",INDEX($J$100:$J$166,MATCH(26,$I$100:$I$166,0))),"")</f>
        <v/>
      </c>
      <c r="B47" s="48" t="str">
        <f t="array" ref="B47">IFERROR(IF(INDEX($K$100:$K$166,MATCH(26,$I$100:$I$166,0))=0,"",INDEX($K$100:$K$166,MATCH(26,$I$100:$I$166,0))),"")</f>
        <v/>
      </c>
      <c r="C47" s="48" t="str">
        <f t="array" ref="C47">IFERROR(IF(INDEX($L$100:$L$166,MATCH(26,$I$100:$I$166,0))=0,"",INDEX($L$100:$L$166,MATCH(26,$I$100:$I$166,0))),"")</f>
        <v/>
      </c>
      <c r="D47" s="48" t="str">
        <f t="array" ref="D47">IFERROR(IF(INDEX($M$100:$M$166,MATCH(26,$I$100:$I$166,0))=0,"",INDEX($M$100:$M$166,MATCH(26,$I$100:$I$166,0))),"")</f>
        <v/>
      </c>
      <c r="E47" s="48" t="str">
        <f t="array" ref="E47">IFERROR(IF(INDEX($N$100:$N$166,MATCH(26,$I$100:$I$166,0))=0,"",INDEX($N$100:$N$166,MATCH(26,$I$100:$I$166,0))),"")</f>
        <v/>
      </c>
      <c r="F47" s="48" t="str">
        <f t="shared" si="6"/>
        <v/>
      </c>
    </row>
    <row r="48" spans="1:6" ht="73.5" customHeight="1">
      <c r="A48" s="48" t="str">
        <f t="array" ref="A48">IFERROR(IF(INDEX($J$100:$J$166,MATCH(27,$I$100:$I$166,0))=0,"",INDEX($J$100:$J$166,MATCH(27,$I$100:$I$166,0))),"")</f>
        <v/>
      </c>
      <c r="B48" s="48" t="str">
        <f t="array" ref="B48">IFERROR(IF(INDEX($K$100:$K$166,MATCH(27,$I$100:$I$166,0))=0,"",INDEX($K$100:$K$166,MATCH(27,$I$100:$I$166,0))),"")</f>
        <v/>
      </c>
      <c r="C48" s="48" t="str">
        <f t="array" ref="C48">IFERROR(IF(INDEX($L$100:$L$166,MATCH(27,$I$100:$I$166,0))=0,"",INDEX($L$100:$L$166,MATCH(27,$I$100:$I$166,0))),"")</f>
        <v/>
      </c>
      <c r="D48" s="48" t="str">
        <f t="array" ref="D48">IFERROR(IF(INDEX($M$100:$M$166,MATCH(27,$I$100:$I$166,0))=0,"",INDEX($M$100:$M$166,MATCH(27,$I$100:$I$166,0))),"")</f>
        <v/>
      </c>
      <c r="E48" s="48" t="str">
        <f t="array" ref="E48">IFERROR(IF(INDEX($N$100:$N$166,MATCH(27,$I$100:$I$166,0))=0,"",INDEX($N$100:$N$166,MATCH(27,$I$100:$I$166,0))),"")</f>
        <v/>
      </c>
      <c r="F48" s="48" t="str">
        <f t="shared" si="6"/>
        <v/>
      </c>
    </row>
    <row r="49" spans="1:6" ht="73.5" customHeight="1">
      <c r="A49" s="48" t="str">
        <f t="array" ref="A49">IFERROR(IF(INDEX($J$100:$J$166,MATCH(28,$I$100:$I$166,0))=0,"",INDEX($J$100:$J$166,MATCH(28,$I$100:$I$166,0))),"")</f>
        <v/>
      </c>
      <c r="B49" s="48" t="str">
        <f t="array" ref="B49">IFERROR(IF(INDEX($K$100:$K$166,MATCH(28,$I$100:$I$166,0))=0,"",INDEX($K$100:$K$166,MATCH(28,$I$100:$I$166,0))),"")</f>
        <v/>
      </c>
      <c r="C49" s="48" t="str">
        <f t="array" ref="C49">IFERROR(IF(INDEX($L$100:$L$166,MATCH(28,$I$100:$I$166,0))=0,"",INDEX($L$100:$L$166,MATCH(28,$I$100:$I$166,0))),"")</f>
        <v/>
      </c>
      <c r="D49" s="48" t="str">
        <f t="array" ref="D49">IFERROR(IF(INDEX($M$100:$M$166,MATCH(28,$I$100:$I$166,0))=0,"",INDEX($M$100:$M$166,MATCH(28,$I$100:$I$166,0))),"")</f>
        <v/>
      </c>
      <c r="E49" s="48" t="str">
        <f t="array" ref="E49">IFERROR(IF(INDEX($N$100:$N$166,MATCH(28,$I$100:$I$166,0))=0,"",INDEX($N$100:$N$166,MATCH(28,$I$100:$I$166,0))),"")</f>
        <v/>
      </c>
      <c r="F49" s="48" t="str">
        <f t="shared" si="6"/>
        <v/>
      </c>
    </row>
    <row r="50" spans="1:6" ht="73.5" customHeight="1">
      <c r="A50" s="48" t="str">
        <f t="array" ref="A50">IFERROR(IF(INDEX($J$100:$J$166,MATCH(29,$I$100:$I$166,0))=0,"",INDEX($J$100:$J$166,MATCH(29,$I$100:$I$166,0))),"")</f>
        <v/>
      </c>
      <c r="B50" s="48" t="str">
        <f t="array" ref="B50">IFERROR(IF(INDEX($K$100:$K$166,MATCH(29,$I$100:$I$166,0))=0,"",INDEX($K$100:$K$166,MATCH(29,$I$100:$I$166,0))),"")</f>
        <v/>
      </c>
      <c r="C50" s="48" t="str">
        <f t="array" ref="C50">IFERROR(IF(INDEX($L$100:$L$166,MATCH(29,$I$100:$I$166,0))=0,"",INDEX($L$100:$L$166,MATCH(29,$I$100:$I$166,0))),"")</f>
        <v/>
      </c>
      <c r="D50" s="48" t="str">
        <f t="array" ref="D50">IFERROR(IF(INDEX($M$100:$M$166,MATCH(29,$I$100:$I$166,0))=0,"",INDEX($M$100:$M$166,MATCH(29,$I$100:$I$166,0))),"")</f>
        <v/>
      </c>
      <c r="E50" s="48" t="str">
        <f t="array" ref="E50">IFERROR(IF(INDEX($N$100:$N$166,MATCH(29,$I$100:$I$166,0))=0,"",INDEX($N$100:$N$166,MATCH(29,$I$100:$I$166,0))),"")</f>
        <v/>
      </c>
      <c r="F50" s="48" t="str">
        <f t="shared" si="6"/>
        <v/>
      </c>
    </row>
    <row r="51" spans="1:6" ht="73.5" customHeight="1">
      <c r="A51" s="48" t="str">
        <f t="array" ref="A51">IFERROR(IF(INDEX($J$100:$J$166,MATCH(30,$I$100:$I$166,0))=0,"",INDEX($J$100:$J$166,MATCH(30,$I$100:$I$166,0))),"")</f>
        <v/>
      </c>
      <c r="B51" s="48" t="str">
        <f t="array" ref="B51">IFERROR(IF(INDEX($K$100:$K$166,MATCH(30,$I$100:$I$166,0))=0,"",INDEX($K$100:$K$166,MATCH(30,$I$100:$I$166,0))),"")</f>
        <v/>
      </c>
      <c r="C51" s="48" t="str">
        <f t="array" ref="C51">IFERROR(IF(INDEX($L$100:$L$166,MATCH(30,$I$100:$I$166,0))=0,"",INDEX($L$100:$L$166,MATCH(30,$I$100:$I$166,0))),"")</f>
        <v/>
      </c>
      <c r="D51" s="48" t="str">
        <f t="array" ref="D51">IFERROR(IF(INDEX($M$100:$M$166,MATCH(30,$I$100:$I$166,0))=0,"",INDEX($M$100:$M$166,MATCH(30,$I$100:$I$166,0))),"")</f>
        <v/>
      </c>
      <c r="E51" s="48" t="str">
        <f t="array" ref="E51">IFERROR(IF(INDEX($N$100:$N$166,MATCH(30,$I$100:$I$166,0))=0,"",INDEX($N$100:$N$166,MATCH(30,$I$100:$I$166,0))),"")</f>
        <v/>
      </c>
      <c r="F51" s="48" t="str">
        <f t="shared" si="6"/>
        <v/>
      </c>
    </row>
    <row r="52" spans="1:6" ht="73.5" customHeight="1">
      <c r="A52" s="48" t="str">
        <f t="array" ref="A52">IFERROR(IF(INDEX($J$100:$J$166,MATCH(31,$I$100:$I$166,0))=0,"",INDEX($J$100:$J$166,MATCH(31,$I$100:$I$166,0))),"")</f>
        <v/>
      </c>
      <c r="B52" s="48" t="str">
        <f t="array" ref="B52">IFERROR(IF(INDEX($K$100:$K$166,MATCH(31,$I$100:$I$166,0))=0,"",INDEX($K$100:$K$166,MATCH(31,$I$100:$I$166,0))),"")</f>
        <v/>
      </c>
      <c r="C52" s="48" t="str">
        <f t="array" ref="C52">IFERROR(IF(INDEX($L$100:$L$166,MATCH(31,$I$100:$I$166,0))=0,"",INDEX($L$100:$L$166,MATCH(31,$I$100:$I$166,0))),"")</f>
        <v/>
      </c>
      <c r="D52" s="48" t="str">
        <f t="array" ref="D52">IFERROR(IF(INDEX($M$100:$M$166,MATCH(31,$I$100:$I$166,0))=0,"",INDEX($M$100:$M$166,MATCH(31,$I$100:$I$166,0))),"")</f>
        <v/>
      </c>
      <c r="E52" s="48" t="str">
        <f t="array" ref="E52">IFERROR(IF(INDEX($N$100:$N$166,MATCH(31,$I$100:$I$166,0))=0,"",INDEX($N$100:$N$166,MATCH(31,$I$100:$I$166,0))),"")</f>
        <v/>
      </c>
      <c r="F52" s="48" t="str">
        <f t="shared" si="6"/>
        <v/>
      </c>
    </row>
    <row r="53" spans="1:6" ht="73.5" customHeight="1">
      <c r="A53" s="48" t="str">
        <f t="array" ref="A53">IFERROR(IF(INDEX($J$100:$J$166,MATCH(32,$I$100:$I$166,0))=0,"",INDEX($J$100:$J$166,MATCH(32,$I$100:$I$166,0))),"")</f>
        <v/>
      </c>
      <c r="B53" s="48" t="str">
        <f t="array" ref="B53">IFERROR(IF(INDEX($K$100:$K$166,MATCH(32,$I$100:$I$166,0))=0,"",INDEX($K$100:$K$166,MATCH(32,$I$100:$I$166,0))),"")</f>
        <v/>
      </c>
      <c r="C53" s="48" t="str">
        <f t="array" ref="C53">IFERROR(IF(INDEX($L$100:$L$166,MATCH(32,$I$100:$I$166,0))=0,"",INDEX($L$100:$L$166,MATCH(32,$I$100:$I$166,0))),"")</f>
        <v/>
      </c>
      <c r="D53" s="48" t="str">
        <f t="array" ref="D53">IFERROR(IF(INDEX($M$100:$M$166,MATCH(32,$I$100:$I$166,0))=0,"",INDEX($M$100:$M$166,MATCH(32,$I$100:$I$166,0))),"")</f>
        <v/>
      </c>
      <c r="E53" s="48" t="str">
        <f t="array" ref="E53">IFERROR(IF(INDEX($N$100:$N$166,MATCH(32,$I$100:$I$166,0))=0,"",INDEX($N$100:$N$166,MATCH(32,$I$100:$I$166,0))),"")</f>
        <v/>
      </c>
      <c r="F53" s="48" t="str">
        <f t="shared" si="6"/>
        <v/>
      </c>
    </row>
    <row r="54" spans="1:6" ht="73.5" customHeight="1">
      <c r="A54" s="48" t="str">
        <f t="array" ref="A54">IFERROR(IF(INDEX($J$100:$J$166,MATCH(33,$I$100:$I$166,0))=0,"",INDEX($J$100:$J$166,MATCH(33,$I$100:$I$166,0))),"")</f>
        <v/>
      </c>
      <c r="B54" s="48" t="str">
        <f t="array" ref="B54">IFERROR(IF(INDEX($K$100:$K$166,MATCH(33,$I$100:$I$166,0))=0,"",INDEX($K$100:$K$166,MATCH(33,$I$100:$I$166,0))),"")</f>
        <v/>
      </c>
      <c r="C54" s="48" t="str">
        <f t="array" ref="C54">IFERROR(IF(INDEX($L$100:$L$166,MATCH(33,$I$100:$I$166,0))=0,"",INDEX($L$100:$L$166,MATCH(33,$I$100:$I$166,0))),"")</f>
        <v/>
      </c>
      <c r="D54" s="48" t="str">
        <f t="array" ref="D54">IFERROR(IF(INDEX($M$100:$M$166,MATCH(33,$I$100:$I$166,0))=0,"",INDEX($M$100:$M$166,MATCH(33,$I$100:$I$166,0))),"")</f>
        <v/>
      </c>
      <c r="E54" s="48" t="str">
        <f t="array" ref="E54">IFERROR(IF(INDEX($N$100:$N$166,MATCH(33,$I$100:$I$166,0))=0,"",INDEX($N$100:$N$166,MATCH(33,$I$100:$I$166,0))),"")</f>
        <v/>
      </c>
      <c r="F54" s="48" t="str">
        <f t="shared" si="6"/>
        <v/>
      </c>
    </row>
    <row r="55" spans="1:6" ht="73.5" customHeight="1">
      <c r="A55" s="48" t="str">
        <f t="array" ref="A55">IFERROR(IF(INDEX($J$100:$J$166,MATCH(34,$I$100:$I$166,0))=0,"",INDEX($J$100:$J$166,MATCH(34,$I$100:$I$166,0))),"")</f>
        <v/>
      </c>
      <c r="B55" s="48" t="str">
        <f t="array" ref="B55">IFERROR(IF(INDEX($K$100:$K$166,MATCH(34,$I$100:$I$166,0))=0,"",INDEX($K$100:$K$166,MATCH(34,$I$100:$I$166,0))),"")</f>
        <v/>
      </c>
      <c r="C55" s="48" t="str">
        <f t="array" ref="C55">IFERROR(IF(INDEX($L$100:$L$166,MATCH(34,$I$100:$I$166,0))=0,"",INDEX($L$100:$L$166,MATCH(34,$I$100:$I$166,0))),"")</f>
        <v/>
      </c>
      <c r="D55" s="48" t="str">
        <f t="array" ref="D55">IFERROR(IF(INDEX($M$100:$M$166,MATCH(34,$I$100:$I$166,0))=0,"",INDEX($M$100:$M$166,MATCH(34,$I$100:$I$166,0))),"")</f>
        <v/>
      </c>
      <c r="E55" s="48" t="str">
        <f t="array" ref="E55">IFERROR(IF(INDEX($N$100:$N$166,MATCH(34,$I$100:$I$166,0))=0,"",INDEX($N$100:$N$166,MATCH(34,$I$100:$I$166,0))),"")</f>
        <v/>
      </c>
      <c r="F55" s="48" t="str">
        <f t="shared" si="6"/>
        <v/>
      </c>
    </row>
    <row r="56" spans="1:6" ht="73.5" customHeight="1">
      <c r="A56" s="48" t="str">
        <f t="array" ref="A56">IFERROR(IF(INDEX($J$100:$J$166,MATCH(35,$I$100:$I$166,0))=0,"",INDEX($J$100:$J$166,MATCH(35,$I$100:$I$166,0))),"")</f>
        <v/>
      </c>
      <c r="B56" s="48" t="str">
        <f t="array" ref="B56">IFERROR(IF(INDEX($K$100:$K$166,MATCH(35,$I$100:$I$166,0))=0,"",INDEX($K$100:$K$166,MATCH(35,$I$100:$I$166,0))),"")</f>
        <v/>
      </c>
      <c r="C56" s="48" t="str">
        <f t="array" ref="C56">IFERROR(IF(INDEX($L$100:$L$166,MATCH(35,$I$100:$I$166,0))=0,"",INDEX($L$100:$L$166,MATCH(35,$I$100:$I$166,0))),"")</f>
        <v/>
      </c>
      <c r="D56" s="48" t="str">
        <f t="array" ref="D56">IFERROR(IF(INDEX($M$100:$M$166,MATCH(35,$I$100:$I$166,0))=0,"",INDEX($M$100:$M$166,MATCH(35,$I$100:$I$166,0))),"")</f>
        <v/>
      </c>
      <c r="E56" s="48" t="str">
        <f t="array" ref="E56">IFERROR(IF(INDEX($N$100:$N$166,MATCH(35,$I$100:$I$166,0))=0,"",INDEX($N$100:$N$166,MATCH(35,$I$100:$I$166,0))),"")</f>
        <v/>
      </c>
      <c r="F56" s="48" t="str">
        <f t="shared" si="6"/>
        <v/>
      </c>
    </row>
    <row r="57" spans="1:6" ht="73.5" customHeight="1">
      <c r="A57" s="48" t="str">
        <f t="array" ref="A57">IFERROR(IF(INDEX($J$100:$J$166,MATCH(36,$I$100:$I$166,0))=0,"",INDEX($J$100:$J$166,MATCH(36,$I$100:$I$166,0))),"")</f>
        <v/>
      </c>
      <c r="B57" s="48" t="str">
        <f t="array" ref="B57">IFERROR(IF(INDEX($K$100:$K$166,MATCH(36,$I$100:$I$166,0))=0,"",INDEX($K$100:$K$166,MATCH(36,$I$100:$I$166,0))),"")</f>
        <v/>
      </c>
      <c r="C57" s="48" t="str">
        <f t="array" ref="C57">IFERROR(IF(INDEX($L$100:$L$166,MATCH(36,$I$100:$I$166,0))=0,"",INDEX($L$100:$L$166,MATCH(36,$I$100:$I$166,0))),"")</f>
        <v/>
      </c>
      <c r="D57" s="48" t="str">
        <f t="array" ref="D57">IFERROR(IF(INDEX($M$100:$M$166,MATCH(36,$I$100:$I$166,0))=0,"",INDEX($M$100:$M$166,MATCH(36,$I$100:$I$166,0))),"")</f>
        <v/>
      </c>
      <c r="E57" s="48" t="str">
        <f t="array" ref="E57">IFERROR(IF(INDEX($N$100:$N$166,MATCH(36,$I$100:$I$166,0))=0,"",INDEX($N$100:$N$166,MATCH(36,$I$100:$I$166,0))),"")</f>
        <v/>
      </c>
      <c r="F57" s="48" t="str">
        <f t="shared" si="6"/>
        <v/>
      </c>
    </row>
    <row r="58" spans="1:6" ht="73.5" customHeight="1">
      <c r="A58" s="48" t="str">
        <f t="array" ref="A58">IFERROR(IF(INDEX($J$100:$J$166,MATCH(37,$I$100:$I$166,0))=0,"",INDEX($J$100:$J$166,MATCH(37,$I$100:$I$166,0))),"")</f>
        <v/>
      </c>
      <c r="B58" s="48" t="str">
        <f t="array" ref="B58">IFERROR(IF(INDEX($K$100:$K$166,MATCH(37,$I$100:$I$166,0))=0,"",INDEX($K$100:$K$166,MATCH(37,$I$100:$I$166,0))),"")</f>
        <v/>
      </c>
      <c r="C58" s="48" t="str">
        <f t="array" ref="C58">IFERROR(IF(INDEX($L$100:$L$166,MATCH(37,$I$100:$I$166,0))=0,"",INDEX($L$100:$L$166,MATCH(37,$I$100:$I$166,0))),"")</f>
        <v/>
      </c>
      <c r="D58" s="48" t="str">
        <f t="array" ref="D58">IFERROR(IF(INDEX($M$100:$M$166,MATCH(37,$I$100:$I$166,0))=0,"",INDEX($M$100:$M$166,MATCH(37,$I$100:$I$166,0))),"")</f>
        <v/>
      </c>
      <c r="E58" s="48" t="str">
        <f t="array" ref="E58">IFERROR(IF(INDEX($N$100:$N$166,MATCH(37,$I$100:$I$166,0))=0,"",INDEX($N$100:$N$166,MATCH(37,$I$100:$I$166,0))),"")</f>
        <v/>
      </c>
      <c r="F58" s="48" t="str">
        <f t="shared" si="6"/>
        <v/>
      </c>
    </row>
    <row r="59" spans="1:6" ht="73.5" customHeight="1">
      <c r="A59" s="48" t="str">
        <f t="array" ref="A59">IFERROR(IF(INDEX($J$100:$J$166,MATCH(38,$I$100:$I$166,0))=0,"",INDEX($J$100:$J$166,MATCH(38,$I$100:$I$166,0))),"")</f>
        <v/>
      </c>
      <c r="B59" s="48" t="str">
        <f t="array" ref="B59">IFERROR(IF(INDEX($K$100:$K$166,MATCH(38,$I$100:$I$166,0))=0,"",INDEX($K$100:$K$166,MATCH(38,$I$100:$I$166,0))),"")</f>
        <v/>
      </c>
      <c r="C59" s="48" t="str">
        <f t="array" ref="C59">IFERROR(IF(INDEX($L$100:$L$166,MATCH(38,$I$100:$I$166,0))=0,"",INDEX($L$100:$L$166,MATCH(38,$I$100:$I$166,0))),"")</f>
        <v/>
      </c>
      <c r="D59" s="48" t="str">
        <f t="array" ref="D59">IFERROR(IF(INDEX($M$100:$M$166,MATCH(38,$I$100:$I$166,0))=0,"",INDEX($M$100:$M$166,MATCH(38,$I$100:$I$166,0))),"")</f>
        <v/>
      </c>
      <c r="E59" s="48" t="str">
        <f t="array" ref="E59">IFERROR(IF(INDEX($N$100:$N$166,MATCH(38,$I$100:$I$166,0))=0,"",INDEX($N$100:$N$166,MATCH(38,$I$100:$I$166,0))),"")</f>
        <v/>
      </c>
      <c r="F59" s="48" t="str">
        <f t="shared" si="6"/>
        <v/>
      </c>
    </row>
    <row r="60" spans="1:6" ht="73.5" customHeight="1">
      <c r="A60" s="48" t="str">
        <f t="array" ref="A60">IFERROR(IF(INDEX($J$100:$J$166,MATCH(39,$I$100:$I$166,0))=0,"",INDEX($J$100:$J$166,MATCH(39,$I$100:$I$166,0))),"")</f>
        <v/>
      </c>
      <c r="B60" s="48" t="str">
        <f t="array" ref="B60">IFERROR(IF(INDEX($K$100:$K$166,MATCH(39,$I$100:$I$166,0))=0,"",INDEX($K$100:$K$166,MATCH(39,$I$100:$I$166,0))),"")</f>
        <v/>
      </c>
      <c r="C60" s="48" t="str">
        <f t="array" ref="C60">IFERROR(IF(INDEX($L$100:$L$166,MATCH(39,$I$100:$I$166,0))=0,"",INDEX($L$100:$L$166,MATCH(39,$I$100:$I$166,0))),"")</f>
        <v/>
      </c>
      <c r="D60" s="48" t="str">
        <f t="array" ref="D60">IFERROR(IF(INDEX($M$100:$M$166,MATCH(39,$I$100:$I$166,0))=0,"",INDEX($M$100:$M$166,MATCH(39,$I$100:$I$166,0))),"")</f>
        <v/>
      </c>
      <c r="E60" s="48" t="str">
        <f t="array" ref="E60">IFERROR(IF(INDEX($N$100:$N$166,MATCH(39,$I$100:$I$166,0))=0,"",INDEX($N$100:$N$166,MATCH(39,$I$100:$I$166,0))),"")</f>
        <v/>
      </c>
      <c r="F60" s="48" t="str">
        <f t="shared" si="6"/>
        <v/>
      </c>
    </row>
    <row r="61" spans="1:6" ht="73.5" customHeight="1">
      <c r="A61" s="48" t="str">
        <f t="array" ref="A61">IFERROR(IF(INDEX($J$100:$J$166,MATCH(40,$I$100:$I$166,0))=0,"",INDEX($J$100:$J$166,MATCH(40,$I$100:$I$166,0))),"")</f>
        <v/>
      </c>
      <c r="B61" s="48" t="str">
        <f t="array" ref="B61">IFERROR(IF(INDEX($K$100:$K$166,MATCH(40,$I$100:$I$166,0))=0,"",INDEX($K$100:$K$166,MATCH(40,$I$100:$I$166,0))),"")</f>
        <v/>
      </c>
      <c r="C61" s="48" t="str">
        <f t="array" ref="C61">IFERROR(IF(INDEX($L$100:$L$166,MATCH(40,$I$100:$I$166,0))=0,"",INDEX($L$100:$L$166,MATCH(40,$I$100:$I$166,0))),"")</f>
        <v/>
      </c>
      <c r="D61" s="48" t="str">
        <f t="array" ref="D61">IFERROR(IF(INDEX($M$100:$M$166,MATCH(40,$I$100:$I$166,0))=0,"",INDEX($M$100:$M$166,MATCH(40,$I$100:$I$166,0))),"")</f>
        <v/>
      </c>
      <c r="E61" s="48" t="str">
        <f t="array" ref="E61">IFERROR(IF(INDEX($N$100:$N$166,MATCH(40,$I$100:$I$166,0))=0,"",INDEX($N$100:$N$166,MATCH(40,$I$100:$I$166,0))),"")</f>
        <v/>
      </c>
      <c r="F61" s="48" t="str">
        <f t="shared" si="6"/>
        <v/>
      </c>
    </row>
    <row r="62" spans="1:6" ht="73.5" customHeight="1">
      <c r="A62" s="48" t="str">
        <f t="array" ref="A62">IFERROR(IF(INDEX($J$100:$J$166,MATCH(41,$I$100:$I$166,0))=0,"",INDEX($J$100:$J$166,MATCH(41,$I$100:$I$166,0))),"")</f>
        <v/>
      </c>
      <c r="B62" s="48" t="str">
        <f t="array" ref="B62">IFERROR(IF(INDEX($K$100:$K$166,MATCH(41,$I$100:$I$166,0))=0,"",INDEX($K$100:$K$166,MATCH(41,$I$100:$I$166,0))),"")</f>
        <v/>
      </c>
      <c r="C62" s="48" t="str">
        <f t="array" ref="C62">IFERROR(IF(INDEX($L$100:$L$166,MATCH(41,$I$100:$I$166,0))=0,"",INDEX($L$100:$L$166,MATCH(41,$I$100:$I$166,0))),"")</f>
        <v/>
      </c>
      <c r="D62" s="48" t="str">
        <f t="array" ref="D62">IFERROR(IF(INDEX($M$100:$M$166,MATCH(41,$I$100:$I$166,0))=0,"",INDEX($M$100:$M$166,MATCH(41,$I$100:$I$166,0))),"")</f>
        <v/>
      </c>
      <c r="E62" s="48" t="str">
        <f t="array" ref="E62">IFERROR(IF(INDEX($N$100:$N$166,MATCH(41,$I$100:$I$166,0))=0,"",INDEX($N$100:$N$166,MATCH(41,$I$100:$I$166,0))),"")</f>
        <v/>
      </c>
      <c r="F62" s="48" t="str">
        <f t="shared" si="6"/>
        <v/>
      </c>
    </row>
    <row r="63" spans="1:6" ht="73.5" customHeight="1">
      <c r="A63" s="48" t="str">
        <f t="array" ref="A63">IFERROR(IF(INDEX($J$100:$J$166,MATCH(42,$I$100:$I$166,0))=0,"",INDEX($J$100:$J$166,MATCH(42,$I$100:$I$166,0))),"")</f>
        <v/>
      </c>
      <c r="B63" s="48" t="str">
        <f t="array" ref="B63">IFERROR(IF(INDEX($K$100:$K$166,MATCH(42,$I$100:$I$166,0))=0,"",INDEX($K$100:$K$166,MATCH(42,$I$100:$I$166,0))),"")</f>
        <v/>
      </c>
      <c r="C63" s="48" t="str">
        <f t="array" ref="C63">IFERROR(IF(INDEX($L$100:$L$166,MATCH(42,$I$100:$I$166,0))=0,"",INDEX($L$100:$L$166,MATCH(42,$I$100:$I$166,0))),"")</f>
        <v/>
      </c>
      <c r="D63" s="48" t="str">
        <f t="array" ref="D63">IFERROR(IF(INDEX($M$100:$M$166,MATCH(42,$I$100:$I$166,0))=0,"",INDEX($M$100:$M$166,MATCH(42,$I$100:$I$166,0))),"")</f>
        <v/>
      </c>
      <c r="E63" s="48" t="str">
        <f t="array" ref="E63">IFERROR(IF(INDEX($N$100:$N$166,MATCH(42,$I$100:$I$166,0))=0,"",INDEX($N$100:$N$166,MATCH(42,$I$100:$I$166,0))),"")</f>
        <v/>
      </c>
      <c r="F63" s="48" t="str">
        <f t="shared" si="6"/>
        <v/>
      </c>
    </row>
    <row r="64" spans="1:6" ht="73.5" customHeight="1">
      <c r="A64" s="48" t="str">
        <f t="array" ref="A64">IFERROR(IF(INDEX($J$100:$J$166,MATCH(43,$I$100:$I$166,0))=0,"",INDEX($J$100:$J$166,MATCH(43,$I$100:$I$166,0))),"")</f>
        <v/>
      </c>
      <c r="B64" s="48" t="str">
        <f t="array" ref="B64">IFERROR(IF(INDEX($K$100:$K$166,MATCH(43,$I$100:$I$166,0))=0,"",INDEX($K$100:$K$166,MATCH(43,$I$100:$I$166,0))),"")</f>
        <v/>
      </c>
      <c r="C64" s="48" t="str">
        <f t="array" ref="C64">IFERROR(IF(INDEX($L$100:$L$166,MATCH(43,$I$100:$I$166,0))=0,"",INDEX($L$100:$L$166,MATCH(43,$I$100:$I$166,0))),"")</f>
        <v/>
      </c>
      <c r="D64" s="48" t="str">
        <f t="array" ref="D64">IFERROR(IF(INDEX($M$100:$M$166,MATCH(43,$I$100:$I$166,0))=0,"",INDEX($M$100:$M$166,MATCH(43,$I$100:$I$166,0))),"")</f>
        <v/>
      </c>
      <c r="E64" s="48" t="str">
        <f t="array" ref="E64">IFERROR(IF(INDEX($N$100:$N$166,MATCH(43,$I$100:$I$166,0))=0,"",INDEX($N$100:$N$166,MATCH(43,$I$100:$I$166,0))),"")</f>
        <v/>
      </c>
      <c r="F64" s="48" t="str">
        <f t="shared" si="6"/>
        <v/>
      </c>
    </row>
    <row r="65" spans="1:6" ht="73.5" customHeight="1">
      <c r="A65" s="48" t="str">
        <f t="array" ref="A65">IFERROR(IF(INDEX($J$100:$J$166,MATCH(44,$I$100:$I$166,0))=0,"",INDEX($J$100:$J$166,MATCH(44,$I$100:$I$166,0))),"")</f>
        <v/>
      </c>
      <c r="B65" s="48" t="str">
        <f t="array" ref="B65">IFERROR(IF(INDEX($K$100:$K$166,MATCH(44,$I$100:$I$166,0))=0,"",INDEX($K$100:$K$166,MATCH(44,$I$100:$I$166,0))),"")</f>
        <v/>
      </c>
      <c r="C65" s="48" t="str">
        <f t="array" ref="C65">IFERROR(IF(INDEX($L$100:$L$166,MATCH(44,$I$100:$I$166,0))=0,"",INDEX($L$100:$L$166,MATCH(44,$I$100:$I$166,0))),"")</f>
        <v/>
      </c>
      <c r="D65" s="48" t="str">
        <f t="array" ref="D65">IFERROR(IF(INDEX($M$100:$M$166,MATCH(44,$I$100:$I$166,0))=0,"",INDEX($M$100:$M$166,MATCH(44,$I$100:$I$166,0))),"")</f>
        <v/>
      </c>
      <c r="E65" s="48" t="str">
        <f t="array" ref="E65">IFERROR(IF(INDEX($N$100:$N$166,MATCH(44,$I$100:$I$166,0))=0,"",INDEX($N$100:$N$166,MATCH(44,$I$100:$I$166,0))),"")</f>
        <v/>
      </c>
      <c r="F65" s="48" t="str">
        <f t="shared" si="6"/>
        <v/>
      </c>
    </row>
    <row r="66" spans="1:6" ht="73.5" customHeight="1">
      <c r="A66" s="48" t="str">
        <f t="array" ref="A66">IFERROR(IF(INDEX($J$100:$J$166,MATCH(45,$I$100:$I$166,0))=0,"",INDEX($J$100:$J$166,MATCH(45,$I$100:$I$166,0))),"")</f>
        <v/>
      </c>
      <c r="B66" s="48" t="str">
        <f t="array" ref="B66">IFERROR(IF(INDEX($K$100:$K$166,MATCH(45,$I$100:$I$166,0))=0,"",INDEX($K$100:$K$166,MATCH(45,$I$100:$I$166,0))),"")</f>
        <v/>
      </c>
      <c r="C66" s="48" t="str">
        <f t="array" ref="C66">IFERROR(IF(INDEX($L$100:$L$166,MATCH(45,$I$100:$I$166,0))=0,"",INDEX($L$100:$L$166,MATCH(45,$I$100:$I$166,0))),"")</f>
        <v/>
      </c>
      <c r="D66" s="48" t="str">
        <f t="array" ref="D66">IFERROR(IF(INDEX($M$100:$M$166,MATCH(45,$I$100:$I$166,0))=0,"",INDEX($M$100:$M$166,MATCH(45,$I$100:$I$166,0))),"")</f>
        <v/>
      </c>
      <c r="E66" s="48" t="str">
        <f t="array" ref="E66">IFERROR(IF(INDEX($N$100:$N$166,MATCH(45,$I$100:$I$166,0))=0,"",INDEX($N$100:$N$166,MATCH(45,$I$100:$I$166,0))),"")</f>
        <v/>
      </c>
      <c r="F66" s="48" t="str">
        <f t="shared" si="6"/>
        <v/>
      </c>
    </row>
    <row r="67" spans="1:6" ht="73.5" customHeight="1">
      <c r="A67" s="48" t="str">
        <f t="array" ref="A67">IFERROR(IF(INDEX($J$100:$J$166,MATCH(46,$I$100:$I$166,0))=0,"",INDEX($J$100:$J$166,MATCH(46,$I$100:$I$166,0))),"")</f>
        <v/>
      </c>
      <c r="B67" s="48" t="str">
        <f t="array" ref="B67">IFERROR(IF(INDEX($K$100:$K$166,MATCH(46,$I$100:$I$166,0))=0,"",INDEX($K$100:$K$166,MATCH(46,$I$100:$I$166,0))),"")</f>
        <v/>
      </c>
      <c r="C67" s="48" t="str">
        <f t="array" ref="C67">IFERROR(IF(INDEX($L$100:$L$166,MATCH(46,$I$100:$I$166,0))=0,"",INDEX($L$100:$L$166,MATCH(46,$I$100:$I$166,0))),"")</f>
        <v/>
      </c>
      <c r="D67" s="48" t="str">
        <f t="array" ref="D67">IFERROR(IF(INDEX($M$100:$M$166,MATCH(46,$I$100:$I$166,0))=0,"",INDEX($M$100:$M$166,MATCH(46,$I$100:$I$166,0))),"")</f>
        <v/>
      </c>
      <c r="E67" s="48" t="str">
        <f t="array" ref="E67">IFERROR(IF(INDEX($N$100:$N$166,MATCH(46,$I$100:$I$166,0))=0,"",INDEX($N$100:$N$166,MATCH(46,$I$100:$I$166,0))),"")</f>
        <v/>
      </c>
      <c r="F67" s="48" t="str">
        <f t="shared" si="6"/>
        <v/>
      </c>
    </row>
    <row r="68" spans="1:6" ht="73.5" customHeight="1">
      <c r="A68" s="24" t="str">
        <f t="array" ref="A68">IFERROR(IF(INDEX($J$100:$J$166,MATCH(47,$I$100:$I$166,0))=0,"",INDEX($J$100:$J$166,MATCH(47,$I$100:$I$166,0))),"")</f>
        <v/>
      </c>
      <c r="B68" s="24" t="str">
        <f t="array" ref="B68">IFERROR(IF(INDEX($K$100:$K$166,MATCH(47,$I$100:$I$166,0))=0,"",INDEX($K$100:$K$166,MATCH(47,$I$100:$I$166,0))),"")</f>
        <v/>
      </c>
      <c r="C68" s="24" t="str">
        <f t="array" ref="C68">IFERROR(IF(INDEX($L$100:$L$166,MATCH(47,$I$100:$I$166,0))=0,"",INDEX($L$100:$L$166,MATCH(47,$I$100:$I$166,0))),"")</f>
        <v/>
      </c>
      <c r="D68" s="24" t="str">
        <f t="array" ref="D68">IFERROR(IF(INDEX($M$100:$M$166,MATCH(47,$I$100:$I$166,0))=0,"",INDEX($M$100:$M$166,MATCH(47,$I$100:$I$166,0))),"")</f>
        <v/>
      </c>
      <c r="E68" s="24" t="str">
        <f t="array" ref="E68">IFERROR(IF(INDEX($N$100:$N$166,MATCH(47,$I$100:$I$166,0))=0,"",INDEX($N$100:$N$166,MATCH(47,$I$100:$I$166,0))),"")</f>
        <v/>
      </c>
      <c r="F68" s="24" t="str">
        <f t="shared" si="6"/>
        <v/>
      </c>
    </row>
    <row r="69" spans="1:6" ht="73.5" customHeight="1">
      <c r="A69" s="24" t="str">
        <f t="array" ref="A69">IFERROR(IF(INDEX($J$100:$J$166,MATCH(48,$I$100:$I$166,0))=0,"",INDEX($J$100:$J$166,MATCH(48,$I$100:$I$166,0))),"")</f>
        <v/>
      </c>
      <c r="B69" s="24" t="str">
        <f t="array" ref="B69">IFERROR(IF(INDEX($K$100:$K$166,MATCH(48,$I$100:$I$166,0))=0,"",INDEX($K$100:$K$166,MATCH(48,$I$100:$I$166,0))),"")</f>
        <v/>
      </c>
      <c r="C69" s="24" t="str">
        <f t="array" ref="C69">IFERROR(IF(INDEX($L$100:$L$166,MATCH(48,$I$100:$I$166,0))=0,"",INDEX($L$100:$L$166,MATCH(48,$I$100:$I$166,0))),"")</f>
        <v/>
      </c>
      <c r="D69" s="24" t="str">
        <f t="array" ref="D69">IFERROR(IF(INDEX($M$100:$M$166,MATCH(48,$I$100:$I$166,0))=0,"",INDEX($M$100:$M$166,MATCH(48,$I$100:$I$166,0))),"")</f>
        <v/>
      </c>
      <c r="E69" s="24" t="str">
        <f t="array" ref="E69">IFERROR(IF(INDEX($N$100:$N$166,MATCH(48,$I$100:$I$166,0))=0,"",INDEX($N$100:$N$166,MATCH(48,$I$100:$I$166,0))),"")</f>
        <v/>
      </c>
      <c r="F69" s="24" t="str">
        <f t="shared" si="6"/>
        <v/>
      </c>
    </row>
    <row r="70" spans="1:6" ht="73.5" customHeight="1">
      <c r="A70" s="24" t="str">
        <f t="array" ref="A70">IFERROR(IF(INDEX($J$100:$J$166,MATCH(49,$I$100:$I$166,0))=0,"",INDEX($J$100:$J$166,MATCH(49,$I$100:$I$166,0))),"")</f>
        <v/>
      </c>
      <c r="B70" s="24" t="str">
        <f t="array" ref="B70">IFERROR(IF(INDEX($K$100:$K$166,MATCH(49,$I$100:$I$166,0))=0,"",INDEX($K$100:$K$166,MATCH(49,$I$100:$I$166,0))),"")</f>
        <v/>
      </c>
      <c r="C70" s="24" t="str">
        <f t="array" ref="C70">IFERROR(IF(INDEX($L$100:$L$166,MATCH(49,$I$100:$I$166,0))=0,"",INDEX($L$100:$L$166,MATCH(49,$I$100:$I$166,0))),"")</f>
        <v/>
      </c>
      <c r="D70" s="24" t="str">
        <f t="array" ref="D70">IFERROR(IF(INDEX($M$100:$M$166,MATCH(49,$I$100:$I$166,0))=0,"",INDEX($M$100:$M$166,MATCH(49,$I$100:$I$166,0))),"")</f>
        <v/>
      </c>
      <c r="E70" s="24" t="str">
        <f t="array" ref="E70">IFERROR(IF(INDEX($N$100:$N$166,MATCH(49,$I$100:$I$166,0))=0,"",INDEX($N$100:$N$166,MATCH(49,$I$100:$I$166,0))),"")</f>
        <v/>
      </c>
      <c r="F70" s="24" t="str">
        <f t="shared" si="6"/>
        <v/>
      </c>
    </row>
    <row r="71" spans="1:6" ht="73.5" customHeight="1">
      <c r="A71" s="24" t="str">
        <f t="array" ref="A71">IFERROR(IF(INDEX($J$100:$J$166,MATCH(50,$I$100:$I$166,0))=0,"",INDEX($J$100:$J$166,MATCH(50,$I$100:$I$166,0))),"")</f>
        <v/>
      </c>
      <c r="B71" s="24" t="str">
        <f t="array" ref="B71">IFERROR(IF(INDEX($K$100:$K$166,MATCH(50,$I$100:$I$166,0))=0,"",INDEX($K$100:$K$166,MATCH(50,$I$100:$I$166,0))),"")</f>
        <v/>
      </c>
      <c r="C71" s="24" t="str">
        <f t="array" ref="C71">IFERROR(IF(INDEX($L$100:$L$166,MATCH(50,$I$100:$I$166,0))=0,"",INDEX($L$100:$L$166,MATCH(50,$I$100:$I$166,0))),"")</f>
        <v/>
      </c>
      <c r="D71" s="24" t="str">
        <f t="array" ref="D71">IFERROR(IF(INDEX($M$100:$M$166,MATCH(50,$I$100:$I$166,0))=0,"",INDEX($M$100:$M$166,MATCH(50,$I$100:$I$166,0))),"")</f>
        <v/>
      </c>
      <c r="E71" s="24" t="str">
        <f t="array" ref="E71">IFERROR(IF(INDEX($N$100:$N$166,MATCH(50,$I$100:$I$166,0))=0,"",INDEX($N$100:$N$166,MATCH(50,$I$100:$I$166,0))),"")</f>
        <v/>
      </c>
      <c r="F71" s="24" t="str">
        <f t="shared" si="6"/>
        <v/>
      </c>
    </row>
    <row r="72" spans="1:6" ht="73.5" customHeight="1">
      <c r="A72" s="24" t="str">
        <f t="array" ref="A72">IFERROR(IF(INDEX($J$100:$J$166,MATCH(51,$I$100:$I$166,0))=0,"",INDEX($J$100:$J$166,MATCH(51,$I$100:$I$166,0))),"")</f>
        <v/>
      </c>
      <c r="B72" s="24" t="str">
        <f t="array" ref="B72">IFERROR(IF(INDEX($K$100:$K$166,MATCH(51,$I$100:$I$166,0))=0,"",INDEX($K$100:$K$166,MATCH(51,$I$100:$I$166,0))),"")</f>
        <v/>
      </c>
      <c r="C72" s="24" t="str">
        <f t="array" ref="C72">IFERROR(IF(INDEX($L$100:$L$166,MATCH(51,$I$100:$I$166,0))=0,"",INDEX($L$100:$L$166,MATCH(51,$I$100:$I$166,0))),"")</f>
        <v/>
      </c>
      <c r="D72" s="24" t="str">
        <f t="array" ref="D72">IFERROR(IF(INDEX($M$100:$M$166,MATCH(51,$I$100:$I$166,0))=0,"",INDEX($M$100:$M$166,MATCH(51,$I$100:$I$166,0))),"")</f>
        <v/>
      </c>
      <c r="E72" s="24" t="str">
        <f t="array" ref="E72">IFERROR(IF(INDEX($N$100:$N$166,MATCH(51,$I$100:$I$166,0))=0,"",INDEX($N$100:$N$166,MATCH(51,$I$100:$I$166,0))),"")</f>
        <v/>
      </c>
      <c r="F72" s="24" t="str">
        <f t="shared" si="6"/>
        <v/>
      </c>
    </row>
    <row r="73" spans="1:6" ht="73.5" customHeight="1">
      <c r="A73" s="24" t="str">
        <f t="array" ref="A73">IFERROR(IF(INDEX($J$100:$J$166,MATCH(52,$I$100:$I$166,0))=0,"",INDEX($J$100:$J$166,MATCH(52,$I$100:$I$166,0))),"")</f>
        <v/>
      </c>
      <c r="B73" s="24" t="str">
        <f t="array" ref="B73">IFERROR(IF(INDEX($K$100:$K$166,MATCH(52,$I$100:$I$166,0))=0,"",INDEX($K$100:$K$166,MATCH(52,$I$100:$I$166,0))),"")</f>
        <v/>
      </c>
      <c r="C73" s="24" t="str">
        <f t="array" ref="C73">IFERROR(IF(INDEX($L$100:$L$166,MATCH(52,$I$100:$I$166,0))=0,"",INDEX($L$100:$L$166,MATCH(52,$I$100:$I$166,0))),"")</f>
        <v/>
      </c>
      <c r="D73" s="24" t="str">
        <f t="array" ref="D73">IFERROR(IF(INDEX($M$100:$M$166,MATCH(52,$I$100:$I$166,0))=0,"",INDEX($M$100:$M$166,MATCH(52,$I$100:$I$166,0))),"")</f>
        <v/>
      </c>
      <c r="E73" s="24" t="str">
        <f t="array" ref="E73">IFERROR(IF(INDEX($N$100:$N$166,MATCH(52,$I$100:$I$166,0))=0,"",INDEX($N$100:$N$166,MATCH(52,$I$100:$I$166,0))),"")</f>
        <v/>
      </c>
      <c r="F73" s="24" t="str">
        <f t="shared" si="6"/>
        <v/>
      </c>
    </row>
    <row r="74" spans="1:6" ht="73.5" customHeight="1">
      <c r="A74" s="24" t="str">
        <f t="array" ref="A74">IFERROR(IF(INDEX($J$100:$J$166,MATCH(53,$I$100:$I$166,0))=0,"",INDEX($J$100:$J$166,MATCH(53,$I$100:$I$166,0))),"")</f>
        <v/>
      </c>
      <c r="B74" s="24" t="str">
        <f t="array" ref="B74">IFERROR(IF(INDEX($K$100:$K$166,MATCH(53,$I$100:$I$166,0))=0,"",INDEX($K$100:$K$166,MATCH(53,$I$100:$I$166,0))),"")</f>
        <v/>
      </c>
      <c r="C74" s="24" t="str">
        <f t="array" ref="C74">IFERROR(IF(INDEX($L$100:$L$166,MATCH(53,$I$100:$I$166,0))=0,"",INDEX($L$100:$L$166,MATCH(53,$I$100:$I$166,0))),"")</f>
        <v/>
      </c>
      <c r="D74" s="24" t="str">
        <f t="array" ref="D74">IFERROR(IF(INDEX($M$100:$M$166,MATCH(53,$I$100:$I$166,0))=0,"",INDEX($M$100:$M$166,MATCH(53,$I$100:$I$166,0))),"")</f>
        <v/>
      </c>
      <c r="E74" s="24" t="str">
        <f t="array" ref="E74">IFERROR(IF(INDEX($N$100:$N$166,MATCH(53,$I$100:$I$166,0))=0,"",INDEX($N$100:$N$166,MATCH(53,$I$100:$I$166,0))),"")</f>
        <v/>
      </c>
      <c r="F74" s="24" t="str">
        <f t="shared" si="6"/>
        <v/>
      </c>
    </row>
    <row r="75" spans="1:6" ht="73.5" customHeight="1">
      <c r="A75" s="24" t="str">
        <f t="array" ref="A75">IFERROR(IF(INDEX($J$100:$J$166,MATCH(54,$I$100:$I$166,0))=0,"",INDEX($J$100:$J$166,MATCH(54,$I$100:$I$166,0))),"")</f>
        <v/>
      </c>
      <c r="B75" s="24" t="str">
        <f t="array" ref="B75">IFERROR(IF(INDEX($K$100:$K$166,MATCH(54,$I$100:$I$166,0))=0,"",INDEX($K$100:$K$166,MATCH(54,$I$100:$I$166,0))),"")</f>
        <v/>
      </c>
      <c r="C75" s="24" t="str">
        <f t="array" ref="C75">IFERROR(IF(INDEX($L$100:$L$166,MATCH(54,$I$100:$I$166,0))=0,"",INDEX($L$100:$L$166,MATCH(54,$I$100:$I$166,0))),"")</f>
        <v/>
      </c>
      <c r="D75" s="24" t="str">
        <f t="array" ref="D75">IFERROR(IF(INDEX($M$100:$M$166,MATCH(54,$I$100:$I$166,0))=0,"",INDEX($M$100:$M$166,MATCH(54,$I$100:$I$166,0))),"")</f>
        <v/>
      </c>
      <c r="E75" s="24" t="str">
        <f t="array" ref="E75">IFERROR(IF(INDEX($N$100:$N$166,MATCH(54,$I$100:$I$166,0))=0,"",INDEX($N$100:$N$166,MATCH(54,$I$100:$I$166,0))),"")</f>
        <v/>
      </c>
      <c r="F75" s="24" t="str">
        <f t="shared" si="6"/>
        <v/>
      </c>
    </row>
    <row r="76" spans="1:6" ht="73.5" customHeight="1">
      <c r="A76" s="24" t="str">
        <f t="array" ref="A76">IFERROR(IF(INDEX($J$100:$J$166,MATCH(55,$I$100:$I$166,0))=0,"",INDEX($J$100:$J$166,MATCH(55,$I$100:$I$166,0))),"")</f>
        <v/>
      </c>
      <c r="B76" s="24" t="str">
        <f t="array" ref="B76">IFERROR(IF(INDEX($K$100:$K$166,MATCH(55,$I$100:$I$166,0))=0,"",INDEX($K$100:$K$166,MATCH(55,$I$100:$I$166,0))),"")</f>
        <v/>
      </c>
      <c r="C76" s="24" t="str">
        <f t="array" ref="C76">IFERROR(IF(INDEX($L$100:$L$166,MATCH(55,$I$100:$I$166,0))=0,"",INDEX($L$100:$L$166,MATCH(55,$I$100:$I$166,0))),"")</f>
        <v/>
      </c>
      <c r="D76" s="24" t="str">
        <f t="array" ref="D76">IFERROR(IF(INDEX($M$100:$M$166,MATCH(55,$I$100:$I$166,0))=0,"",INDEX($M$100:$M$166,MATCH(55,$I$100:$I$166,0))),"")</f>
        <v/>
      </c>
      <c r="E76" s="24" t="str">
        <f t="array" ref="E76">IFERROR(IF(INDEX($N$100:$N$166,MATCH(55,$I$100:$I$166,0))=0,"",INDEX($N$100:$N$166,MATCH(55,$I$100:$I$166,0))),"")</f>
        <v/>
      </c>
      <c r="F76" s="24" t="str">
        <f t="shared" si="6"/>
        <v/>
      </c>
    </row>
    <row r="77" spans="1:6" ht="73.5" customHeight="1">
      <c r="A77" s="24" t="str">
        <f t="array" ref="A77">IFERROR(IF(INDEX($J$100:$J$166,MATCH(56,$I$100:$I$166,0))=0,"",INDEX($J$100:$J$166,MATCH(56,$I$100:$I$166,0))),"")</f>
        <v/>
      </c>
      <c r="B77" s="24" t="str">
        <f t="array" ref="B77">IFERROR(IF(INDEX($K$100:$K$166,MATCH(56,$I$100:$I$166,0))=0,"",INDEX($K$100:$K$166,MATCH(56,$I$100:$I$166,0))),"")</f>
        <v/>
      </c>
      <c r="C77" s="24" t="str">
        <f t="array" ref="C77">IFERROR(IF(INDEX($L$100:$L$166,MATCH(56,$I$100:$I$166,0))=0,"",INDEX($L$100:$L$166,MATCH(56,$I$100:$I$166,0))),"")</f>
        <v/>
      </c>
      <c r="D77" s="24" t="str">
        <f t="array" ref="D77">IFERROR(IF(INDEX($M$100:$M$166,MATCH(56,$I$100:$I$166,0))=0,"",INDEX($M$100:$M$166,MATCH(56,$I$100:$I$166,0))),"")</f>
        <v/>
      </c>
      <c r="E77" s="24" t="str">
        <f t="array" ref="E77">IFERROR(IF(INDEX($N$100:$N$166,MATCH(56,$I$100:$I$166,0))=0,"",INDEX($N$100:$N$166,MATCH(56,$I$100:$I$166,0))),"")</f>
        <v/>
      </c>
      <c r="F77" s="24" t="str">
        <f t="shared" si="6"/>
        <v/>
      </c>
    </row>
    <row r="78" spans="1:6" ht="73.5" customHeight="1">
      <c r="A78" s="24" t="str">
        <f t="array" ref="A78">IFERROR(IF(INDEX($J$100:$J$166,MATCH(57,$I$100:$I$166,0))=0,"",INDEX($J$100:$J$166,MATCH(57,$I$100:$I$166,0))),"")</f>
        <v/>
      </c>
      <c r="B78" s="24" t="str">
        <f t="array" ref="B78">IFERROR(IF(INDEX($K$100:$K$166,MATCH(57,$I$100:$I$166,0))=0,"",INDEX($K$100:$K$166,MATCH(57,$I$100:$I$166,0))),"")</f>
        <v/>
      </c>
      <c r="C78" s="24" t="str">
        <f t="array" ref="C78">IFERROR(IF(INDEX($L$100:$L$166,MATCH(57,$I$100:$I$166,0))=0,"",INDEX($L$100:$L$166,MATCH(57,$I$100:$I$166,0))),"")</f>
        <v/>
      </c>
      <c r="D78" s="24" t="str">
        <f t="array" ref="D78">IFERROR(IF(INDEX($M$100:$M$166,MATCH(57,$I$100:$I$166,0))=0,"",INDEX($M$100:$M$166,MATCH(57,$I$100:$I$166,0))),"")</f>
        <v/>
      </c>
      <c r="E78" s="24" t="str">
        <f t="array" ref="E78">IFERROR(IF(INDEX($N$100:$N$166,MATCH(57,$I$100:$I$166,0))=0,"",INDEX($N$100:$N$166,MATCH(57,$I$100:$I$166,0))),"")</f>
        <v/>
      </c>
      <c r="F78" s="24" t="str">
        <f t="shared" si="6"/>
        <v/>
      </c>
    </row>
    <row r="79" spans="1:6" ht="73.5" customHeight="1">
      <c r="A79" s="24" t="str">
        <f t="array" ref="A79">IFERROR(IF(INDEX($J$100:$J$166,MATCH(58,$I$100:$I$166,0))=0,"",INDEX($J$100:$J$166,MATCH(58,$I$100:$I$166,0))),"")</f>
        <v/>
      </c>
      <c r="B79" s="24" t="str">
        <f t="array" ref="B79">IFERROR(IF(INDEX($K$100:$K$166,MATCH(58,$I$100:$I$166,0))=0,"",INDEX($K$100:$K$166,MATCH(58,$I$100:$I$166,0))),"")</f>
        <v/>
      </c>
      <c r="C79" s="24" t="str">
        <f t="array" ref="C79">IFERROR(IF(INDEX($L$100:$L$166,MATCH(58,$I$100:$I$166,0))=0,"",INDEX($L$100:$L$166,MATCH(58,$I$100:$I$166,0))),"")</f>
        <v/>
      </c>
      <c r="D79" s="24" t="str">
        <f t="array" ref="D79">IFERROR(IF(INDEX($M$100:$M$166,MATCH(58,$I$100:$I$166,0))=0,"",INDEX($M$100:$M$166,MATCH(58,$I$100:$I$166,0))),"")</f>
        <v/>
      </c>
      <c r="E79" s="24" t="str">
        <f t="array" ref="E79">IFERROR(IF(INDEX($N$100:$N$166,MATCH(58,$I$100:$I$166,0))=0,"",INDEX($N$100:$N$166,MATCH(58,$I$100:$I$166,0))),"")</f>
        <v/>
      </c>
      <c r="F79" s="24" t="str">
        <f t="shared" si="6"/>
        <v/>
      </c>
    </row>
    <row r="80" spans="1:6" ht="73.5" customHeight="1">
      <c r="A80" s="24" t="str">
        <f t="array" ref="A80">IFERROR(IF(INDEX($J$100:$J$166,MATCH(59,$I$100:$I$166,0))=0,"",INDEX($J$100:$J$166,MATCH(59,$I$100:$I$166,0))),"")</f>
        <v/>
      </c>
      <c r="B80" s="24" t="str">
        <f t="array" ref="B80">IFERROR(IF(INDEX($K$100:$K$166,MATCH(59,$I$100:$I$166,0))=0,"",INDEX($K$100:$K$166,MATCH(59,$I$100:$I$166,0))),"")</f>
        <v/>
      </c>
      <c r="C80" s="24" t="str">
        <f t="array" ref="C80">IFERROR(IF(INDEX($L$100:$L$166,MATCH(59,$I$100:$I$166,0))=0,"",INDEX($L$100:$L$166,MATCH(59,$I$100:$I$166,0))),"")</f>
        <v/>
      </c>
      <c r="D80" s="24" t="str">
        <f t="array" ref="D80">IFERROR(IF(INDEX($M$100:$M$166,MATCH(59,$I$100:$I$166,0))=0,"",INDEX($M$100:$M$166,MATCH(59,$I$100:$I$166,0))),"")</f>
        <v/>
      </c>
      <c r="E80" s="24" t="str">
        <f t="array" ref="E80">IFERROR(IF(INDEX($N$100:$N$166,MATCH(59,$I$100:$I$166,0))=0,"",INDEX($N$100:$N$166,MATCH(59,$I$100:$I$166,0))),"")</f>
        <v/>
      </c>
      <c r="F80" s="24" t="str">
        <f t="shared" si="6"/>
        <v/>
      </c>
    </row>
    <row r="81" spans="1:6" ht="73.5" customHeight="1">
      <c r="A81" s="24" t="str">
        <f t="array" ref="A81">IFERROR(IF(INDEX($J$100:$J$166,MATCH(60,$I$100:$I$166,0))=0,"",INDEX($J$100:$J$166,MATCH(60,$I$100:$I$166,0))),"")</f>
        <v/>
      </c>
      <c r="B81" s="24" t="str">
        <f t="array" ref="B81">IFERROR(IF(INDEX($K$100:$K$166,MATCH(60,$I$100:$I$166,0))=0,"",INDEX($K$100:$K$166,MATCH(60,$I$100:$I$166,0))),"")</f>
        <v/>
      </c>
      <c r="C81" s="24" t="str">
        <f t="array" ref="C81">IFERROR(IF(INDEX($L$100:$L$166,MATCH(60,$I$100:$I$166,0))=0,"",INDEX($L$100:$L$166,MATCH(60,$I$100:$I$166,0))),"")</f>
        <v/>
      </c>
      <c r="D81" s="24" t="str">
        <f t="array" ref="D81">IFERROR(IF(INDEX($M$100:$M$166,MATCH(60,$I$100:$I$166,0))=0,"",INDEX($M$100:$M$166,MATCH(60,$I$100:$I$166,0))),"")</f>
        <v/>
      </c>
      <c r="E81" s="24" t="str">
        <f t="array" ref="E81">IFERROR(IF(INDEX($N$100:$N$166,MATCH(60,$I$100:$I$166,0))=0,"",INDEX($N$100:$N$166,MATCH(60,$I$100:$I$166,0))),"")</f>
        <v/>
      </c>
      <c r="F81" s="24" t="str">
        <f t="shared" si="6"/>
        <v/>
      </c>
    </row>
    <row r="82" spans="1:6" ht="73.5" customHeight="1">
      <c r="A82" s="24" t="str">
        <f t="array" ref="A82">IFERROR(IF(INDEX($J$100:$J$166,MATCH(61,$I$100:$I$166,0))=0,"",INDEX($J$100:$J$166,MATCH(61,$I$100:$I$166,0))),"")</f>
        <v/>
      </c>
      <c r="B82" s="24" t="str">
        <f t="array" ref="B82">IFERROR(IF(INDEX($K$100:$K$166,MATCH(61,$I$100:$I$166,0))=0,"",INDEX($K$100:$K$166,MATCH(61,$I$100:$I$166,0))),"")</f>
        <v/>
      </c>
      <c r="C82" s="24" t="str">
        <f t="array" ref="C82">IFERROR(IF(INDEX($L$100:$L$166,MATCH(61,$I$100:$I$166,0))=0,"",INDEX($L$100:$L$166,MATCH(61,$I$100:$I$166,0))),"")</f>
        <v/>
      </c>
      <c r="D82" s="24" t="str">
        <f t="array" ref="D82">IFERROR(IF(INDEX($M$100:$M$166,MATCH(61,$I$100:$I$166,0))=0,"",INDEX($M$100:$M$166,MATCH(61,$I$100:$I$166,0))),"")</f>
        <v/>
      </c>
      <c r="E82" s="24" t="str">
        <f t="array" ref="E82">IFERROR(IF(INDEX($N$100:$N$166,MATCH(61,$I$100:$I$166,0))=0,"",INDEX($N$100:$N$166,MATCH(61,$I$100:$I$166,0))),"")</f>
        <v/>
      </c>
      <c r="F82" s="24" t="str">
        <f t="shared" si="6"/>
        <v/>
      </c>
    </row>
    <row r="83" spans="1:6" ht="73.5" customHeight="1">
      <c r="A83" s="24" t="str">
        <f t="array" ref="A83">IFERROR(IF(INDEX($J$100:$J$166,MATCH(62,$I$100:$I$166,0))=0,"",INDEX($J$100:$J$166,MATCH(62,$I$100:$I$166,0))),"")</f>
        <v/>
      </c>
      <c r="B83" s="24" t="str">
        <f t="array" ref="B83">IFERROR(IF(INDEX($K$100:$K$166,MATCH(62,$I$100:$I$166,0))=0,"",INDEX($K$100:$K$166,MATCH(62,$I$100:$I$166,0))),"")</f>
        <v/>
      </c>
      <c r="C83" s="24" t="str">
        <f t="array" ref="C83">IFERROR(IF(INDEX($L$100:$L$166,MATCH(62,$I$100:$I$166,0))=0,"",INDEX($L$100:$L$166,MATCH(62,$I$100:$I$166,0))),"")</f>
        <v/>
      </c>
      <c r="D83" s="24" t="str">
        <f t="array" ref="D83">IFERROR(IF(INDEX($M$100:$M$166,MATCH(62,$I$100:$I$166,0))=0,"",INDEX($M$100:$M$166,MATCH(62,$I$100:$I$166,0))),"")</f>
        <v/>
      </c>
      <c r="E83" s="24" t="str">
        <f t="array" ref="E83">IFERROR(IF(INDEX($N$100:$N$166,MATCH(62,$I$100:$I$166,0))=0,"",INDEX($N$100:$N$166,MATCH(62,$I$100:$I$166,0))),"")</f>
        <v/>
      </c>
      <c r="F83" s="24" t="str">
        <f t="shared" si="6"/>
        <v/>
      </c>
    </row>
    <row r="84" spans="1:6" ht="73.5" customHeight="1">
      <c r="A84" s="24" t="str">
        <f t="array" ref="A84">IFERROR(IF(INDEX($J$100:$J$166,MATCH(63,$I$100:$I$166,0))=0,"",INDEX($J$100:$J$166,MATCH(63,$I$100:$I$166,0))),"")</f>
        <v/>
      </c>
      <c r="B84" s="24" t="str">
        <f t="array" ref="B84">IFERROR(IF(INDEX($K$100:$K$166,MATCH(63,$I$100:$I$166,0))=0,"",INDEX($K$100:$K$166,MATCH(63,$I$100:$I$166,0))),"")</f>
        <v/>
      </c>
      <c r="C84" s="24" t="str">
        <f t="array" ref="C84">IFERROR(IF(INDEX($L$100:$L$166,MATCH(63,$I$100:$I$166,0))=0,"",INDEX($L$100:$L$166,MATCH(63,$I$100:$I$166,0))),"")</f>
        <v/>
      </c>
      <c r="D84" s="24" t="str">
        <f t="array" ref="D84">IFERROR(IF(INDEX($M$100:$M$166,MATCH(63,$I$100:$I$166,0))=0,"",INDEX($M$100:$M$166,MATCH(63,$I$100:$I$166,0))),"")</f>
        <v/>
      </c>
      <c r="E84" s="24" t="str">
        <f t="array" ref="E84">IFERROR(IF(INDEX($N$100:$N$166,MATCH(63,$I$100:$I$166,0))=0,"",INDEX($N$100:$N$166,MATCH(63,$I$100:$I$166,0))),"")</f>
        <v/>
      </c>
      <c r="F84" s="24" t="str">
        <f t="shared" si="6"/>
        <v/>
      </c>
    </row>
    <row r="85" spans="1:6" ht="73.5" customHeight="1">
      <c r="A85" s="24" t="str">
        <f t="array" ref="A85">IFERROR(IF(INDEX($J$100:$J$166,MATCH(64,$I$100:$I$166,0))=0,"",INDEX($J$100:$J$166,MATCH(64,$I$100:$I$166,0))),"")</f>
        <v/>
      </c>
      <c r="B85" s="24" t="str">
        <f t="array" ref="B85">IFERROR(IF(INDEX($K$100:$K$166,MATCH(64,$I$100:$I$166,0))=0,"",INDEX($K$100:$K$166,MATCH(64,$I$100:$I$166,0))),"")</f>
        <v/>
      </c>
      <c r="C85" s="24" t="str">
        <f t="array" ref="C85">IFERROR(IF(INDEX($L$100:$L$166,MATCH(64,$I$100:$I$166,0))=0,"",INDEX($L$100:$L$166,MATCH(64,$I$100:$I$166,0))),"")</f>
        <v/>
      </c>
      <c r="D85" s="24" t="str">
        <f t="array" ref="D85">IFERROR(IF(INDEX($M$100:$M$166,MATCH(64,$I$100:$I$166,0))=0,"",INDEX($M$100:$M$166,MATCH(64,$I$100:$I$166,0))),"")</f>
        <v/>
      </c>
      <c r="E85" s="24" t="str">
        <f t="array" ref="E85">IFERROR(IF(INDEX($N$100:$N$166,MATCH(64,$I$100:$I$166,0))=0,"",INDEX($N$100:$N$166,MATCH(64,$I$100:$I$166,0))),"")</f>
        <v/>
      </c>
      <c r="F85" s="24" t="str">
        <f t="shared" si="6"/>
        <v/>
      </c>
    </row>
    <row r="86" spans="1:6" ht="73.5" customHeight="1">
      <c r="A86" s="24" t="str">
        <f t="array" ref="A86">IFERROR(IF(INDEX($J$100:$J$166,MATCH(65,$I$100:$I$166,0))=0,"",INDEX($J$100:$J$166,MATCH(65,$I$100:$I$166,0))),"")</f>
        <v/>
      </c>
      <c r="B86" s="24" t="str">
        <f t="array" ref="B86">IFERROR(IF(INDEX($K$100:$K$166,MATCH(65,$I$100:$I$166,0))=0,"",INDEX($K$100:$K$166,MATCH(65,$I$100:$I$166,0))),"")</f>
        <v/>
      </c>
      <c r="C86" s="24" t="str">
        <f t="array" ref="C86">IFERROR(IF(INDEX($L$100:$L$166,MATCH(65,$I$100:$I$166,0))=0,"",INDEX($L$100:$L$166,MATCH(65,$I$100:$I$166,0))),"")</f>
        <v/>
      </c>
      <c r="D86" s="24" t="str">
        <f t="array" ref="D86">IFERROR(IF(INDEX($M$100:$M$166,MATCH(65,$I$100:$I$166,0))=0,"",INDEX($M$100:$M$166,MATCH(65,$I$100:$I$166,0))),"")</f>
        <v/>
      </c>
      <c r="E86" s="24" t="str">
        <f t="array" ref="E86">IFERROR(IF(INDEX($N$100:$N$166,MATCH(65,$I$100:$I$166,0))=0,"",INDEX($N$100:$N$166,MATCH(65,$I$100:$I$166,0))),"")</f>
        <v/>
      </c>
      <c r="F86" s="24" t="str">
        <f t="shared" si="6"/>
        <v/>
      </c>
    </row>
    <row r="87" spans="1:6" ht="73.5" customHeight="1">
      <c r="A87" s="24" t="str">
        <f t="array" ref="A87">IFERROR(IF(INDEX($J$100:$J$166,MATCH(66,$I$100:$I$166,0))=0,"",INDEX($J$100:$J$166,MATCH(66,$I$100:$I$166,0))),"")</f>
        <v/>
      </c>
      <c r="B87" s="24" t="str">
        <f t="array" ref="B87">IFERROR(IF(INDEX($K$100:$K$166,MATCH(66,$I$100:$I$166,0))=0,"",INDEX($K$100:$K$166,MATCH(66,$I$100:$I$166,0))),"")</f>
        <v/>
      </c>
      <c r="C87" s="24" t="str">
        <f t="array" ref="C87">IFERROR(IF(INDEX($L$100:$L$166,MATCH(66,$I$100:$I$166,0))=0,"",INDEX($L$100:$L$166,MATCH(66,$I$100:$I$166,0))),"")</f>
        <v/>
      </c>
      <c r="D87" s="24" t="str">
        <f t="array" ref="D87">IFERROR(IF(INDEX($M$100:$M$166,MATCH(66,$I$100:$I$166,0))=0,"",INDEX($M$100:$M$166,MATCH(66,$I$100:$I$166,0))),"")</f>
        <v/>
      </c>
      <c r="E87" s="24" t="str">
        <f t="array" ref="E87">IFERROR(IF(INDEX($N$100:$N$166,MATCH(66,$I$100:$I$166,0))=0,"",INDEX($N$100:$N$166,MATCH(66,$I$100:$I$166,0))),"")</f>
        <v/>
      </c>
      <c r="F87" s="24" t="str">
        <f t="shared" si="6"/>
        <v/>
      </c>
    </row>
    <row r="88" spans="1:6" ht="73.5" customHeight="1">
      <c r="A88" s="24" t="str">
        <f t="array" ref="A88">IFERROR(IF(INDEX($J$100:$J$166,MATCH(67,$I$100:$I$166,0))=0,"",INDEX($J$100:$J$166,MATCH(67,$I$100:$I$166,0))),"")</f>
        <v/>
      </c>
      <c r="B88" s="24" t="str">
        <f t="array" ref="B88">IFERROR(IF(INDEX($K$100:$K$166,MATCH(67,$I$100:$I$166,0))=0,"",INDEX($K$100:$K$166,MATCH(67,$I$100:$I$166,0))),"")</f>
        <v/>
      </c>
      <c r="C88" s="24" t="str">
        <f t="array" ref="C88">IFERROR(IF(INDEX($L$100:$L$166,MATCH(67,$I$100:$I$166,0))=0,"",INDEX($L$100:$L$166,MATCH(67,$I$100:$I$166,0))),"")</f>
        <v/>
      </c>
      <c r="D88" s="24" t="str">
        <f t="array" ref="D88">IFERROR(IF(INDEX($M$100:$M$166,MATCH(67,$I$100:$I$166,0))=0,"",INDEX($M$100:$M$166,MATCH(67,$I$100:$I$166,0))),"")</f>
        <v/>
      </c>
      <c r="E88" s="24" t="str">
        <f t="array" ref="E88">IFERROR(IF(INDEX($N$100:$N$166,MATCH(67,$I$100:$I$166,0))=0,"",INDEX($N$100:$N$166,MATCH(67,$I$100:$I$166,0))),"")</f>
        <v/>
      </c>
      <c r="F88" s="24" t="str">
        <f t="shared" si="6"/>
        <v/>
      </c>
    </row>
    <row r="89" spans="1:6" ht="14.25" customHeight="1"/>
    <row r="90" spans="1:6" ht="14.25" customHeight="1"/>
    <row r="91" spans="1:6" ht="14.25" customHeight="1"/>
    <row r="92" spans="1:6" ht="14.25" customHeight="1"/>
    <row r="93" spans="1:6" ht="14.25" customHeight="1"/>
    <row r="94" spans="1:6" ht="14.25" customHeight="1"/>
    <row r="95" spans="1:6" ht="14.25" customHeight="1"/>
    <row r="96" spans="1:6" ht="14.25" customHeight="1"/>
    <row r="97" spans="8:14" ht="14.25" customHeight="1"/>
    <row r="98" spans="8:14" ht="14.25" customHeight="1"/>
    <row r="99" spans="8:14" ht="14.25" customHeight="1"/>
    <row r="100" spans="8:14" ht="14.25" customHeight="1">
      <c r="H100" s="49">
        <v>1</v>
      </c>
      <c r="I100" s="49" t="str">
        <f>IF('3 Horários e seleção'!$H$7="☑",IF('3 Horários e seleção'!$H$7="☑",1,0),"")</f>
        <v/>
      </c>
      <c r="J100" s="49" t="s">
        <v>97</v>
      </c>
      <c r="K100" s="49"/>
      <c r="L100" s="49"/>
      <c r="M100" s="49"/>
      <c r="N100" s="49"/>
    </row>
    <row r="101" spans="8:14" ht="14.25" customHeight="1">
      <c r="H101" s="49">
        <v>2</v>
      </c>
      <c r="I101" s="49" t="str">
        <f>IF('3 Horários e seleção'!$H$8="☑",IF('3 Horários e seleção'!$H$7="☑",1,0)+IF('3 Horários e seleção'!$H$8="☑",1,0),"")</f>
        <v/>
      </c>
      <c r="J101" s="49" t="s">
        <v>99</v>
      </c>
      <c r="K101" s="49"/>
      <c r="L101" s="49"/>
      <c r="M101" s="49"/>
      <c r="N101" s="49"/>
    </row>
    <row r="102" spans="8:14" ht="14.25" customHeight="1">
      <c r="H102" s="49">
        <v>3</v>
      </c>
      <c r="I102" s="49" t="str">
        <f>IF('3 Horários e seleção'!$H$9="☑",IF('3 Horários e seleção'!$H$7="☑",1,0)+IF('3 Horários e seleção'!$H$8="☑",1,0)+IF('3 Horários e seleção'!$H$9="☑",1,0),"")</f>
        <v/>
      </c>
      <c r="J102" s="49" t="s">
        <v>100</v>
      </c>
      <c r="K102" s="49"/>
      <c r="L102" s="49"/>
      <c r="M102" s="49"/>
      <c r="N102" s="49"/>
    </row>
    <row r="103" spans="8:14" ht="14.25" customHeight="1">
      <c r="H103" s="49">
        <v>4</v>
      </c>
      <c r="I103" s="49" t="str">
        <f>IF('3 Horários e seleção'!$H$10="☑",IF('3 Horários e seleção'!$H$7="☑",1,0)+IF('3 Horários e seleção'!$H$8="☑",1,0)+IF('3 Horários e seleção'!$H$9="☑",1,0)+IF('3 Horários e seleção'!$H$10="☑",1,0),"")</f>
        <v/>
      </c>
      <c r="J103" s="49" t="s">
        <v>103</v>
      </c>
      <c r="K103" s="49"/>
      <c r="L103" s="49"/>
      <c r="M103" s="49"/>
      <c r="N103" s="49"/>
    </row>
    <row r="104" spans="8:14" ht="14.25" customHeight="1">
      <c r="H104" s="49">
        <v>5</v>
      </c>
      <c r="I104" s="49" t="str">
        <f>IF('3 Horários e seleção'!$H$11="☑",IF('3 Horários e seleção'!$H$7="☑",1,0)+IF('3 Horários e seleção'!$H$8="☑",1,0)+IF('3 Horários e seleção'!$H$9="☑",1,0)+IF('3 Horários e seleção'!$H$10="☑",1,0)+IF('3 Horários e seleção'!$H$11="☑",1,0),"")</f>
        <v/>
      </c>
      <c r="J104" s="49" t="s">
        <v>105</v>
      </c>
      <c r="K104" s="49"/>
      <c r="L104" s="49"/>
      <c r="M104" s="49"/>
      <c r="N104" s="49"/>
    </row>
    <row r="105" spans="8:14" ht="14.25" customHeight="1">
      <c r="H105" s="49">
        <v>6</v>
      </c>
      <c r="I105" s="49" t="str">
        <f>IF('3 Horários e seleção'!$H$12="☑",IF('3 Horários e seleção'!$H$7="☑",1,0)+IF('3 Horários e seleção'!$H$8="☑",1,0)+IF('3 Horários e seleção'!$H$9="☑",1,0)+IF('3 Horários e seleção'!$H$10="☑",1,0)+IF('3 Horários e seleção'!$H$11="☑",1,0)+IF('3 Horários e seleção'!$H$12="☑",1,0),"")</f>
        <v/>
      </c>
      <c r="J105" s="49" t="s">
        <v>107</v>
      </c>
      <c r="K105" s="49"/>
      <c r="L105" s="49"/>
      <c r="M105" s="49"/>
      <c r="N105" s="49"/>
    </row>
    <row r="106" spans="8:14" ht="14.25" customHeight="1">
      <c r="H106" s="49">
        <v>7</v>
      </c>
      <c r="I106" s="49" t="str">
        <f>IF('3 Horários e seleção'!$H$23="☑",IF('3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seleção'!$H$23="☑",1,0),"")</f>
        <v/>
      </c>
      <c r="J106" s="49" t="s">
        <v>110</v>
      </c>
      <c r="K106" s="49"/>
      <c r="L106" s="49"/>
      <c r="M106" s="49"/>
      <c r="N106" s="49"/>
    </row>
    <row r="107" spans="8:14" ht="14.25" customHeight="1">
      <c r="H107" s="49">
        <v>8</v>
      </c>
      <c r="I107" s="49" t="str">
        <f>IF('3 Horários e seleção'!$H$24="☑",IF('3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seleção'!$H$24="☑",1,0),"")</f>
        <v/>
      </c>
      <c r="J107" s="49" t="s">
        <v>112</v>
      </c>
      <c r="K107" s="49"/>
      <c r="L107" s="49" t="s">
        <v>110</v>
      </c>
      <c r="M107" s="49" t="s">
        <v>110</v>
      </c>
      <c r="N107" s="49"/>
    </row>
    <row r="108" spans="8:14" ht="14.25" customHeight="1">
      <c r="H108" s="49">
        <v>9</v>
      </c>
      <c r="I108" s="49" t="str">
        <f>IF('3 Horários e seleção'!$H$25="☑",IF('3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seleção'!$H$25="☑",1,0),"")</f>
        <v/>
      </c>
      <c r="J108" s="49" t="s">
        <v>114</v>
      </c>
      <c r="K108" s="49"/>
      <c r="L108" s="49"/>
      <c r="M108" s="49"/>
      <c r="N108" s="49"/>
    </row>
    <row r="109" spans="8:14" ht="14.25" customHeight="1">
      <c r="H109" s="49">
        <v>10</v>
      </c>
      <c r="I109" s="49" t="str">
        <f>IF('3 Horários e seleção'!$H$26="☑",IF('3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seleção'!$H$26="☑",1,0),"")</f>
        <v/>
      </c>
      <c r="J109" s="49" t="s">
        <v>116</v>
      </c>
      <c r="K109" s="49"/>
      <c r="L109" s="49" t="s">
        <v>114</v>
      </c>
      <c r="M109" s="49" t="s">
        <v>114</v>
      </c>
      <c r="N109" s="49"/>
    </row>
    <row r="110" spans="8:14" ht="14.25" customHeight="1">
      <c r="H110" s="49">
        <v>11</v>
      </c>
      <c r="I110" s="49" t="str">
        <f>IF('3 Horários e seleção'!$H$27="☑",IF('3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seleção'!$H$27="☑",1,0),"")</f>
        <v/>
      </c>
      <c r="J110" s="49" t="s">
        <v>119</v>
      </c>
      <c r="K110" s="49" t="s">
        <v>103</v>
      </c>
      <c r="L110" s="49"/>
      <c r="M110" s="49" t="s">
        <v>103</v>
      </c>
      <c r="N110" s="49"/>
    </row>
    <row r="111" spans="8:14" ht="14.25" customHeight="1">
      <c r="H111" s="49">
        <v>12</v>
      </c>
      <c r="I111" s="49" t="str">
        <f>IF('3 Horários e seleção'!$H$28="☑",IF('3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seleção'!$H$28="☑",1,0),"")</f>
        <v/>
      </c>
      <c r="J111" s="49" t="s">
        <v>121</v>
      </c>
      <c r="K111" s="49"/>
      <c r="L111" s="49"/>
      <c r="M111" s="49"/>
      <c r="N111" s="49"/>
    </row>
    <row r="112" spans="8:14" ht="14.25" customHeight="1">
      <c r="H112" s="49">
        <v>13</v>
      </c>
      <c r="I112" s="49" t="str">
        <f>IF('3 Horários e seleção'!$H$29="☑",IF('3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seleção'!$H$29="☑",1,0),"")</f>
        <v/>
      </c>
      <c r="J112" s="49" t="s">
        <v>123</v>
      </c>
      <c r="K112" s="49" t="s">
        <v>107</v>
      </c>
      <c r="L112" s="49"/>
      <c r="M112" s="49" t="s">
        <v>107</v>
      </c>
      <c r="N112" s="49"/>
    </row>
    <row r="113" spans="8:14" ht="14.25" customHeight="1">
      <c r="H113" s="49">
        <v>14</v>
      </c>
      <c r="I113" s="49" t="str">
        <f>IF('3 Horários e seleção'!$H$39="☑",IF('3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seleção'!$H$39="☑",1,0),"")</f>
        <v/>
      </c>
      <c r="J113" s="49" t="s">
        <v>125</v>
      </c>
      <c r="K113" s="49" t="s">
        <v>99</v>
      </c>
      <c r="L113" s="49"/>
      <c r="M113" s="49" t="s">
        <v>99</v>
      </c>
      <c r="N113" s="49"/>
    </row>
    <row r="114" spans="8:14" ht="14.25" customHeight="1">
      <c r="H114" s="49">
        <v>15</v>
      </c>
      <c r="I114" s="49" t="str">
        <f>IF('3 Horários e seleção'!$H$40="☑",IF('3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seleção'!$H$40="☑",1,0),"")</f>
        <v/>
      </c>
      <c r="J114" s="49" t="s">
        <v>127</v>
      </c>
      <c r="K114" s="49" t="s">
        <v>415</v>
      </c>
      <c r="L114" s="49"/>
      <c r="M114" s="49" t="s">
        <v>415</v>
      </c>
      <c r="N114" s="49"/>
    </row>
    <row r="115" spans="8:14" ht="14.25" customHeight="1">
      <c r="H115" s="49">
        <v>16</v>
      </c>
      <c r="I115" s="49" t="str">
        <f>IF('3 Horários e seleção'!$H$41="☑",IF('3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seleção'!$H$41="☑",1,0),"")</f>
        <v/>
      </c>
      <c r="J115" s="49" t="s">
        <v>129</v>
      </c>
      <c r="K115" s="49" t="s">
        <v>112</v>
      </c>
      <c r="L115" s="49" t="s">
        <v>127</v>
      </c>
      <c r="M115" s="49" t="s">
        <v>416</v>
      </c>
      <c r="N115" s="49"/>
    </row>
    <row r="116" spans="8:14" ht="14.25" customHeight="1">
      <c r="H116" s="49">
        <v>17</v>
      </c>
      <c r="I116" s="49" t="str">
        <f>IF('3 Horários e seleção'!$H$42="☑",IF('3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seleção'!$H$42="☑",1,0),"")</f>
        <v/>
      </c>
      <c r="J116" s="49" t="s">
        <v>131</v>
      </c>
      <c r="K116" s="49"/>
      <c r="L116" s="49"/>
      <c r="M116" s="49"/>
      <c r="N116" s="49"/>
    </row>
    <row r="117" spans="8:14" ht="14.25" customHeight="1">
      <c r="H117" s="49">
        <v>18</v>
      </c>
      <c r="I117" s="49" t="str">
        <f>IF('3 Horários e seleção'!$H$43="☑",IF('3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seleção'!$H$43="☑",1,0),"")</f>
        <v/>
      </c>
      <c r="J117" s="49" t="s">
        <v>133</v>
      </c>
      <c r="K117" s="49"/>
      <c r="L117" s="49" t="s">
        <v>131</v>
      </c>
      <c r="M117" s="49" t="s">
        <v>131</v>
      </c>
      <c r="N117" s="49"/>
    </row>
    <row r="118" spans="8:14" ht="14.25" customHeight="1">
      <c r="H118" s="49">
        <v>19</v>
      </c>
      <c r="I118" s="49" t="str">
        <f>IF('3 Horários e seleção'!$H$44="☑",IF('3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seleção'!$H$44="☑",1,0),"")</f>
        <v/>
      </c>
      <c r="J118" s="49" t="s">
        <v>135</v>
      </c>
      <c r="K118" s="49" t="s">
        <v>417</v>
      </c>
      <c r="L118" s="49"/>
      <c r="M118" s="49" t="s">
        <v>417</v>
      </c>
      <c r="N118" s="49"/>
    </row>
    <row r="119" spans="8:14" ht="14.25" customHeight="1">
      <c r="H119" s="49">
        <v>20</v>
      </c>
      <c r="I119" s="49" t="str">
        <f>IF('3 Horários e seleção'!$H$45="☑",IF('3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seleção'!$H$45="☑",1,0),"")</f>
        <v/>
      </c>
      <c r="J119" s="49" t="s">
        <v>136</v>
      </c>
      <c r="K119" s="49" t="s">
        <v>417</v>
      </c>
      <c r="L119" s="49"/>
      <c r="M119" s="49" t="s">
        <v>417</v>
      </c>
      <c r="N119" s="49"/>
    </row>
    <row r="120" spans="8:14" ht="14.25" customHeight="1">
      <c r="H120" s="49">
        <v>21</v>
      </c>
      <c r="I120" s="49" t="str">
        <f>IF('3 Horários e seleção'!$H$46="☑",IF('3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seleção'!$H$46="☑",1,0),"")</f>
        <v/>
      </c>
      <c r="J120" s="49" t="s">
        <v>137</v>
      </c>
      <c r="K120" s="49" t="s">
        <v>103</v>
      </c>
      <c r="L120" s="49"/>
      <c r="M120" s="49" t="s">
        <v>103</v>
      </c>
      <c r="N120" s="49"/>
    </row>
    <row r="121" spans="8:14" ht="14.25" customHeight="1">
      <c r="H121" s="49">
        <v>22</v>
      </c>
      <c r="I121" s="49" t="str">
        <f>IF('3 Horários e seleção'!$H$55="☑",IF('3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seleção'!$H$55="☑",1,0),"")</f>
        <v/>
      </c>
      <c r="J121" s="49" t="s">
        <v>138</v>
      </c>
      <c r="K121" s="49" t="s">
        <v>418</v>
      </c>
      <c r="L121" s="49"/>
      <c r="M121" s="49" t="s">
        <v>419</v>
      </c>
      <c r="N121" s="49"/>
    </row>
    <row r="122" spans="8:14" ht="14.25" customHeight="1">
      <c r="H122" s="49">
        <v>23</v>
      </c>
      <c r="I122" s="49" t="str">
        <f>IF('3 Horários e seleção'!$H$56="☑",IF('3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seleção'!$H$56="☑",1,0),"")</f>
        <v/>
      </c>
      <c r="J122" s="49" t="s">
        <v>139</v>
      </c>
      <c r="K122" s="49" t="s">
        <v>112</v>
      </c>
      <c r="L122" s="49" t="s">
        <v>138</v>
      </c>
      <c r="M122" s="49" t="s">
        <v>420</v>
      </c>
      <c r="N122" s="49"/>
    </row>
    <row r="123" spans="8:14" ht="14.25" customHeight="1">
      <c r="H123" s="49">
        <v>24</v>
      </c>
      <c r="I123" s="49" t="str">
        <f>IF('3 Horários e seleção'!$H$57="☑",IF('3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seleção'!$H$57="☑",1,0),"")</f>
        <v/>
      </c>
      <c r="J123" s="49" t="s">
        <v>140</v>
      </c>
      <c r="K123" s="49"/>
      <c r="L123" s="49"/>
      <c r="M123" s="49"/>
      <c r="N123" s="49"/>
    </row>
    <row r="124" spans="8:14" ht="14.25" customHeight="1">
      <c r="H124" s="49">
        <v>25</v>
      </c>
      <c r="I124" s="49" t="str">
        <f>IF('3 Horários e seleção'!$H$58="☑",IF('3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seleção'!$H$58="☑",1,0),"")</f>
        <v/>
      </c>
      <c r="J124" s="49" t="s">
        <v>141</v>
      </c>
      <c r="K124" s="49"/>
      <c r="L124" s="49" t="s">
        <v>140</v>
      </c>
      <c r="M124" s="49" t="s">
        <v>140</v>
      </c>
      <c r="N124" s="49"/>
    </row>
    <row r="125" spans="8:14" ht="14.25" customHeight="1">
      <c r="H125" s="49">
        <v>26</v>
      </c>
      <c r="I125" s="49" t="str">
        <f>IF('3 Horários e seleção'!$H$59="☑",IF('3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seleção'!$H$59="☑",1,0),"")</f>
        <v/>
      </c>
      <c r="J125" s="49" t="s">
        <v>142</v>
      </c>
      <c r="K125" s="49" t="s">
        <v>421</v>
      </c>
      <c r="L125" s="49"/>
      <c r="M125" s="49" t="s">
        <v>421</v>
      </c>
      <c r="N125" s="49"/>
    </row>
    <row r="126" spans="8:14" ht="14.25" customHeight="1">
      <c r="H126" s="49">
        <v>27</v>
      </c>
      <c r="I126" s="49" t="str">
        <f>IF('3 Horários e seleção'!$H$60="☑",IF('3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seleção'!$H$60="☑",1,0),"")</f>
        <v/>
      </c>
      <c r="J126" s="49" t="s">
        <v>143</v>
      </c>
      <c r="K126" s="49"/>
      <c r="L126" s="49"/>
      <c r="M126" s="49"/>
      <c r="N126" s="49"/>
    </row>
    <row r="127" spans="8:14" ht="14.25" customHeight="1">
      <c r="H127" s="49">
        <v>28</v>
      </c>
      <c r="I127" s="49" t="str">
        <f>IF('3 Horários e seleção'!$H$61="☑",IF('3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seleção'!$H$61="☑",1,0),"")</f>
        <v/>
      </c>
      <c r="J127" s="49" t="s">
        <v>144</v>
      </c>
      <c r="K127" s="49" t="s">
        <v>422</v>
      </c>
      <c r="L127" s="49"/>
      <c r="M127" s="49" t="s">
        <v>422</v>
      </c>
      <c r="N127" s="49"/>
    </row>
    <row r="128" spans="8:14" ht="14.25" customHeight="1">
      <c r="H128" s="49">
        <v>64</v>
      </c>
      <c r="I128" s="49" t="str">
        <f>IF('3 Horários e seleção'!$H$62="☑",IF('3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seleção'!$H$62="☑",1,0),"")</f>
        <v/>
      </c>
      <c r="J128" s="49" t="s">
        <v>180</v>
      </c>
      <c r="K128" s="49"/>
      <c r="L128" s="49"/>
      <c r="M128" s="49"/>
      <c r="N128" s="49"/>
    </row>
    <row r="129" spans="8:14" ht="14.25" customHeight="1">
      <c r="H129" s="49">
        <v>29</v>
      </c>
      <c r="I129" s="49" t="str">
        <f>IF('3 Horários e seleção'!$H$71="☑",IF('3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seleção'!$H$71="☑",1,0),"")</f>
        <v/>
      </c>
      <c r="J129" s="49" t="s">
        <v>145</v>
      </c>
      <c r="K129" s="49" t="s">
        <v>423</v>
      </c>
      <c r="L129" s="49"/>
      <c r="M129" s="49" t="s">
        <v>424</v>
      </c>
      <c r="N129" s="49"/>
    </row>
    <row r="130" spans="8:14" ht="14.25" customHeight="1">
      <c r="H130" s="49">
        <v>30</v>
      </c>
      <c r="I130" s="49" t="str">
        <f>IF('3 Horários e seleção'!$H$72="☑",IF('3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seleção'!$H$72="☑",1,0),"")</f>
        <v/>
      </c>
      <c r="J130" s="49" t="s">
        <v>146</v>
      </c>
      <c r="K130" s="49" t="s">
        <v>425</v>
      </c>
      <c r="L130" s="49" t="s">
        <v>145</v>
      </c>
      <c r="M130" s="49" t="s">
        <v>426</v>
      </c>
      <c r="N130" s="49"/>
    </row>
    <row r="131" spans="8:14" ht="14.25" customHeight="1">
      <c r="H131" s="49">
        <v>31</v>
      </c>
      <c r="I131" s="49" t="str">
        <f>IF('3 Horários e seleção'!$H$73="☑",IF('3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seleção'!$H$73="☑",1,0),"")</f>
        <v/>
      </c>
      <c r="J131" s="49" t="s">
        <v>147</v>
      </c>
      <c r="K131" s="49" t="s">
        <v>423</v>
      </c>
      <c r="L131" s="49"/>
      <c r="M131" s="49" t="s">
        <v>424</v>
      </c>
      <c r="N131" s="49"/>
    </row>
    <row r="132" spans="8:14" ht="14.25" customHeight="1">
      <c r="H132" s="49">
        <v>32</v>
      </c>
      <c r="I132" s="49" t="str">
        <f>IF('3 Horários e seleção'!$H$74="☑",IF('3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seleção'!$H$74="☑",1,0),"")</f>
        <v/>
      </c>
      <c r="J132" s="49" t="s">
        <v>148</v>
      </c>
      <c r="K132" s="49" t="s">
        <v>112</v>
      </c>
      <c r="L132" s="49" t="s">
        <v>147</v>
      </c>
      <c r="M132" s="49" t="s">
        <v>427</v>
      </c>
      <c r="N132" s="49"/>
    </row>
    <row r="133" spans="8:14" ht="14.25" customHeight="1">
      <c r="H133" s="49">
        <v>33</v>
      </c>
      <c r="I133" s="49" t="str">
        <f>IF('3 Horários e seleção'!$H$75="☑",IF('3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seleção'!$H$75="☑",1,0),"")</f>
        <v/>
      </c>
      <c r="J133" s="49" t="s">
        <v>149</v>
      </c>
      <c r="K133" s="49" t="s">
        <v>142</v>
      </c>
      <c r="L133" s="49"/>
      <c r="M133" s="49" t="s">
        <v>428</v>
      </c>
      <c r="N133" s="49"/>
    </row>
    <row r="134" spans="8:14" ht="14.25" customHeight="1">
      <c r="H134" s="49">
        <v>34</v>
      </c>
      <c r="I134" s="49" t="str">
        <f>IF('3 Horários e seleção'!$H$76="☑",IF('3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seleção'!$H$76="☑",1,0),"")</f>
        <v/>
      </c>
      <c r="J134" s="49" t="s">
        <v>150</v>
      </c>
      <c r="K134" s="49" t="s">
        <v>429</v>
      </c>
      <c r="L134" s="49"/>
      <c r="M134" s="49" t="s">
        <v>430</v>
      </c>
      <c r="N134" s="49"/>
    </row>
    <row r="135" spans="8:14" ht="14.25" customHeight="1">
      <c r="H135" s="49">
        <v>35</v>
      </c>
      <c r="I135" s="49" t="str">
        <f>IF('3 Horários e seleção'!$H$77="☑",IF('3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seleção'!$H$77="☑",1,0),"")</f>
        <v/>
      </c>
      <c r="J135" s="49" t="s">
        <v>151</v>
      </c>
      <c r="K135" s="49" t="s">
        <v>431</v>
      </c>
      <c r="L135" s="49"/>
      <c r="M135" s="49" t="s">
        <v>432</v>
      </c>
      <c r="N135" s="49"/>
    </row>
    <row r="136" spans="8:14" ht="14.25" customHeight="1">
      <c r="H136" s="49">
        <v>36</v>
      </c>
      <c r="I136" s="49" t="str">
        <f>IF('3 Horários e seleção'!$H$78="☑",IF('3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seleção'!$H$78="☑",1,0),"")</f>
        <v/>
      </c>
      <c r="J136" s="49" t="s">
        <v>152</v>
      </c>
      <c r="K136" s="49" t="s">
        <v>144</v>
      </c>
      <c r="L136" s="49"/>
      <c r="M136" s="49" t="s">
        <v>433</v>
      </c>
      <c r="N136" s="49"/>
    </row>
    <row r="137" spans="8:14" ht="14.25" customHeight="1">
      <c r="H137" s="49">
        <v>65</v>
      </c>
      <c r="I137" s="49" t="str">
        <f>IF('3 Horários e seleção'!$H$79="☑",IF('3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seleção'!$H$79="☑",1,0),"")</f>
        <v/>
      </c>
      <c r="J137" s="49" t="s">
        <v>181</v>
      </c>
      <c r="K137" s="49"/>
      <c r="L137" s="49"/>
      <c r="M137" s="49"/>
      <c r="N137" s="49"/>
    </row>
    <row r="138" spans="8:14" ht="14.25" customHeight="1">
      <c r="H138" s="49">
        <v>37</v>
      </c>
      <c r="I138" s="49" t="str">
        <f>IF('3 Horários e seleção'!$H$87="☑",IF('3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seleção'!$H$87="☑",1,0),"")</f>
        <v/>
      </c>
      <c r="J138" s="49" t="s">
        <v>153</v>
      </c>
      <c r="K138" s="49" t="s">
        <v>434</v>
      </c>
      <c r="L138" s="49"/>
      <c r="M138" s="49" t="s">
        <v>435</v>
      </c>
      <c r="N138" s="49"/>
    </row>
    <row r="139" spans="8:14" ht="14.25" customHeight="1">
      <c r="H139" s="49">
        <v>38</v>
      </c>
      <c r="I139" s="49" t="str">
        <f>IF('3 Horários e seleção'!$H$88="☑",IF('3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seleção'!$H$88="☑",1,0),"")</f>
        <v/>
      </c>
      <c r="J139" s="49" t="s">
        <v>154</v>
      </c>
      <c r="K139" s="49" t="s">
        <v>436</v>
      </c>
      <c r="L139" s="49"/>
      <c r="M139" s="49" t="s">
        <v>436</v>
      </c>
      <c r="N139" s="49" t="s">
        <v>437</v>
      </c>
    </row>
    <row r="140" spans="8:14" ht="14.25" customHeight="1">
      <c r="H140" s="49">
        <v>39</v>
      </c>
      <c r="I140" s="49" t="str">
        <f>IF('3 Horários e seleção'!$H$89="☑",IF('3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seleção'!$H$89="☑",1,0),"")</f>
        <v/>
      </c>
      <c r="J140" s="49" t="s">
        <v>155</v>
      </c>
      <c r="K140" s="49" t="s">
        <v>438</v>
      </c>
      <c r="L140" s="49"/>
      <c r="M140" s="49" t="s">
        <v>439</v>
      </c>
      <c r="N140" s="49"/>
    </row>
    <row r="141" spans="8:14" ht="14.25" customHeight="1">
      <c r="H141" s="49">
        <v>40</v>
      </c>
      <c r="I141" s="49" t="str">
        <f>IF('3 Horários e seleção'!$H$90="☑",IF('3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seleção'!$H$90="☑",1,0),"")</f>
        <v/>
      </c>
      <c r="J141" s="49" t="s">
        <v>156</v>
      </c>
      <c r="K141" s="49" t="s">
        <v>142</v>
      </c>
      <c r="L141" s="49"/>
      <c r="M141" s="49" t="s">
        <v>428</v>
      </c>
      <c r="N141" s="49"/>
    </row>
    <row r="142" spans="8:14" ht="14.25" customHeight="1">
      <c r="H142" s="49">
        <v>41</v>
      </c>
      <c r="I142" s="49" t="str">
        <f>IF('3 Horários e seleção'!$H$91="☑",IF('3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seleção'!$H$91="☑",1,0),"")</f>
        <v/>
      </c>
      <c r="J142" s="49" t="s">
        <v>157</v>
      </c>
      <c r="K142" s="49" t="s">
        <v>440</v>
      </c>
      <c r="L142" s="49"/>
      <c r="M142" s="49" t="s">
        <v>441</v>
      </c>
      <c r="N142" s="49"/>
    </row>
    <row r="143" spans="8:14" ht="14.25" customHeight="1">
      <c r="H143" s="49">
        <v>42</v>
      </c>
      <c r="I143" s="49" t="str">
        <f>IF('3 Horários e seleção'!$H$92="☑",IF('3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seleção'!$H$92="☑",1,0),"")</f>
        <v/>
      </c>
      <c r="J143" s="49" t="s">
        <v>158</v>
      </c>
      <c r="K143" s="49" t="s">
        <v>151</v>
      </c>
      <c r="L143" s="49" t="s">
        <v>157</v>
      </c>
      <c r="M143" s="49" t="s">
        <v>442</v>
      </c>
      <c r="N143" s="49"/>
    </row>
    <row r="144" spans="8:14" ht="14.25" customHeight="1">
      <c r="H144" s="49">
        <v>43</v>
      </c>
      <c r="I144" s="49" t="str">
        <f>IF('3 Horários e seleção'!$H$93="☑",IF('3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seleção'!$H$93="☑",1,0),"")</f>
        <v/>
      </c>
      <c r="J144" s="49" t="s">
        <v>159</v>
      </c>
      <c r="K144" s="49" t="s">
        <v>443</v>
      </c>
      <c r="L144" s="49"/>
      <c r="M144" s="49" t="s">
        <v>444</v>
      </c>
      <c r="N144" s="49"/>
    </row>
    <row r="145" spans="8:14" ht="14.25" customHeight="1">
      <c r="H145" s="49">
        <v>66</v>
      </c>
      <c r="I145" s="49" t="str">
        <f>IF('3 Horários e seleção'!$H$94="☑",IF('3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seleção'!$H$94="☑",1,0),"")</f>
        <v/>
      </c>
      <c r="J145" s="49" t="s">
        <v>182</v>
      </c>
      <c r="K145" s="49"/>
      <c r="L145" s="49"/>
      <c r="M145" s="49"/>
      <c r="N145" s="49"/>
    </row>
    <row r="146" spans="8:14" ht="14.25" customHeight="1">
      <c r="H146" s="49">
        <v>44</v>
      </c>
      <c r="I146" s="49" t="str">
        <f>IF('3 Horários e seleção'!$H$103="☑",IF('3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seleção'!$H$103="☑",1,0),"")</f>
        <v/>
      </c>
      <c r="J146" s="49" t="s">
        <v>160</v>
      </c>
      <c r="K146" s="49" t="s">
        <v>445</v>
      </c>
      <c r="L146" s="49"/>
      <c r="M146" s="49" t="s">
        <v>446</v>
      </c>
      <c r="N146" s="49"/>
    </row>
    <row r="147" spans="8:14" ht="14.25" customHeight="1">
      <c r="H147" s="49">
        <v>45</v>
      </c>
      <c r="I147" s="49" t="str">
        <f>IF('3 Horários e seleção'!$H$104="☑",IF('3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seleção'!$H$104="☑",1,0),"")</f>
        <v/>
      </c>
      <c r="J147" s="49" t="s">
        <v>161</v>
      </c>
      <c r="K147" s="49" t="s">
        <v>447</v>
      </c>
      <c r="L147" s="49"/>
      <c r="M147" s="49" t="s">
        <v>448</v>
      </c>
      <c r="N147" s="49"/>
    </row>
    <row r="148" spans="8:14" ht="14.25" customHeight="1">
      <c r="H148" s="49">
        <v>46</v>
      </c>
      <c r="I148" s="49" t="str">
        <f>IF('3 Horários e seleção'!$H$105="☑",IF('3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seleção'!$H$105="☑",1,0),"")</f>
        <v/>
      </c>
      <c r="J148" s="49" t="s">
        <v>162</v>
      </c>
      <c r="K148" s="49" t="s">
        <v>150</v>
      </c>
      <c r="L148" s="49"/>
      <c r="M148" s="49" t="s">
        <v>449</v>
      </c>
      <c r="N148" s="49"/>
    </row>
    <row r="149" spans="8:14" ht="14.25" customHeight="1">
      <c r="H149" s="49">
        <v>47</v>
      </c>
      <c r="I149" s="49" t="str">
        <f>IF('3 Horários e seleção'!$H$106="☑",IF('3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seleção'!$H$106="☑",1,0),"")</f>
        <v/>
      </c>
      <c r="J149" s="49" t="s">
        <v>163</v>
      </c>
      <c r="K149" s="49"/>
      <c r="L149" s="49"/>
      <c r="M149" s="49"/>
      <c r="N149" s="49"/>
    </row>
    <row r="150" spans="8:14" ht="14.25" customHeight="1">
      <c r="H150" s="49">
        <v>48</v>
      </c>
      <c r="I150" s="49" t="str">
        <f>IF('3 Horários e seleção'!$H$107="☑",IF('3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seleção'!$H$107="☑",1,0),"")</f>
        <v/>
      </c>
      <c r="J150" s="49" t="s">
        <v>164</v>
      </c>
      <c r="K150" s="49" t="s">
        <v>110</v>
      </c>
      <c r="L150" s="49"/>
      <c r="M150" s="49" t="s">
        <v>110</v>
      </c>
      <c r="N150" s="49"/>
    </row>
    <row r="151" spans="8:14" ht="14.25" customHeight="1">
      <c r="H151" s="49">
        <v>49</v>
      </c>
      <c r="I151" s="49" t="str">
        <f>IF('3 Horários e seleção'!$H$108="☑",IF('3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seleção'!$H$107="☑",1,0)+IF('3 Horários e seleção'!$H$108="☑",1,0),"")</f>
        <v/>
      </c>
      <c r="J151" s="49" t="s">
        <v>165</v>
      </c>
      <c r="K151" s="49" t="s">
        <v>450</v>
      </c>
      <c r="L151" s="49"/>
      <c r="M151" s="49" t="s">
        <v>451</v>
      </c>
      <c r="N151" s="49"/>
    </row>
    <row r="152" spans="8:14" ht="14.25" customHeight="1">
      <c r="H152" s="49">
        <v>67</v>
      </c>
      <c r="I152" s="49" t="str">
        <f>IF('3 Horários e seleção'!$H$109="☑",IF('3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seleção'!$H$107="☑",1,0)+IF('3 Horários e seleção'!$H$108="☑",1,0)+IF('3 Horários e seleção'!$H$109="☑",1,0),"")</f>
        <v/>
      </c>
      <c r="J152" s="49" t="s">
        <v>183</v>
      </c>
      <c r="K152" s="49"/>
      <c r="L152" s="49"/>
      <c r="M152" s="49"/>
      <c r="N152" s="49"/>
    </row>
    <row r="153" spans="8:14" ht="14.25" customHeight="1">
      <c r="H153" s="49">
        <v>50</v>
      </c>
      <c r="I153" s="49" t="str">
        <f>IF('3 Horários e seleção'!$H$119="☑",IF('3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seleção'!$H$107="☑",1,0)+IF('3 Horários e seleção'!$H$108="☑",1,0)+IF('3 Horários e seleção'!$H$109="☑",1,0)+IF('3 Horários e seleção'!$H$119="☑",1,0),"")</f>
        <v/>
      </c>
      <c r="J153" s="49" t="s">
        <v>166</v>
      </c>
      <c r="K153" s="49" t="s">
        <v>452</v>
      </c>
      <c r="L153" s="49"/>
      <c r="M153" s="49" t="s">
        <v>453</v>
      </c>
      <c r="N153" s="49"/>
    </row>
    <row r="154" spans="8:14" ht="14.25" customHeight="1">
      <c r="H154" s="49">
        <v>51</v>
      </c>
      <c r="I154" s="49" t="str">
        <f>IF('3 Horários e seleção'!$H$120="☑",IF('3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seleção'!$H$107="☑",1,0)+IF('3 Horários e seleção'!$H$108="☑",1,0)+IF('3 Horários e seleção'!$H$109="☑",1,0)+IF('3 Horários e seleção'!$H$119="☑",1,0)+IF('3 Horários e seleção'!$H$120="☑",1,0),"")</f>
        <v/>
      </c>
      <c r="J154" s="49" t="s">
        <v>167</v>
      </c>
      <c r="K154" s="49" t="s">
        <v>452</v>
      </c>
      <c r="L154" s="49"/>
      <c r="M154" s="49" t="s">
        <v>453</v>
      </c>
      <c r="N154" s="49"/>
    </row>
    <row r="155" spans="8:14" ht="14.25" customHeight="1">
      <c r="H155" s="49">
        <v>52</v>
      </c>
      <c r="I155" s="49" t="str">
        <f>IF('3 Horários e seleção'!$H$121="☑",IF('3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seleção'!$H$107="☑",1,0)+IF('3 Horários e seleção'!$H$108="☑",1,0)+IF('3 Horários e seleção'!$H$109="☑",1,0)+IF('3 Horários e seleção'!$H$119="☑",1,0)+IF('3 Horários e seleção'!$H$120="☑",1,0)+IF('3 Horários e seleção'!$H$121="☑",1,0),"")</f>
        <v/>
      </c>
      <c r="J155" s="49" t="s">
        <v>168</v>
      </c>
      <c r="K155" s="49" t="s">
        <v>454</v>
      </c>
      <c r="L155" s="49"/>
      <c r="M155" s="49" t="s">
        <v>455</v>
      </c>
      <c r="N155" s="49"/>
    </row>
    <row r="156" spans="8:14" ht="14.25" customHeight="1">
      <c r="H156" s="49">
        <v>53</v>
      </c>
      <c r="I156" s="49" t="str">
        <f>IF('3 Horários e seleção'!$H$122="☑",IF('3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seleção'!$H$107="☑",1,0)+IF('3 Horários e seleção'!$H$108="☑",1,0)+IF('3 Horários e seleção'!$H$109="☑",1,0)+IF('3 Horários e seleção'!$H$119="☑",1,0)+IF('3 Horários e seleção'!$H$120="☑",1,0)+IF('3 Horários e seleção'!$H$121="☑",1,0)+IF('3 Horários e seleção'!$H$122="☑",1,0),"")</f>
        <v/>
      </c>
      <c r="J156" s="49" t="s">
        <v>169</v>
      </c>
      <c r="K156" s="49" t="s">
        <v>163</v>
      </c>
      <c r="L156" s="49"/>
      <c r="M156" s="49" t="s">
        <v>163</v>
      </c>
      <c r="N156" s="49"/>
    </row>
    <row r="157" spans="8:14" ht="14.25" customHeight="1">
      <c r="H157" s="49">
        <v>54</v>
      </c>
      <c r="I157" s="49" t="str">
        <f>IF('3 Horários e seleção'!$H$123="☑",IF('3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seleção'!$H$107="☑",1,0)+IF('3 Horários e seleção'!$H$108="☑",1,0)+IF('3 Horários e seleção'!$H$109="☑",1,0)+IF('3 Horários e seleção'!$H$119="☑",1,0)+IF('3 Horários e seleção'!$H$120="☑",1,0)+IF('3 Horários e seleção'!$H$121="☑",1,0)+IF('3 Horários e seleção'!$H$122="☑",1,0)+IF('3 Horários e seleção'!$H$123="☑",1,0),"")</f>
        <v/>
      </c>
      <c r="J157" s="49" t="s">
        <v>170</v>
      </c>
      <c r="K157" s="49" t="s">
        <v>456</v>
      </c>
      <c r="L157" s="49"/>
      <c r="M157" s="49" t="s">
        <v>457</v>
      </c>
      <c r="N157" s="49"/>
    </row>
    <row r="158" spans="8:14" ht="14.25" customHeight="1">
      <c r="H158" s="49">
        <v>55</v>
      </c>
      <c r="I158" s="49" t="str">
        <f>IF('3 Horários e seleção'!$H$124="☑",IF('3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seleção'!$H$107="☑",1,0)+IF('3 Horários e seleção'!$H$108="☑",1,0)+IF('3 Horários e seleção'!$H$109="☑",1,0)+IF('3 Horários e seleção'!$H$119="☑",1,0)+IF('3 Horários e seleção'!$H$120="☑",1,0)+IF('3 Horários e seleção'!$H$121="☑",1,0)+IF('3 Horários e seleção'!$H$122="☑",1,0)+IF('3 Horários e seleção'!$H$123="☑",1,0)+IF('3 Horários e seleção'!$H$124="☑",1,0),"")</f>
        <v/>
      </c>
      <c r="J158" s="49" t="s">
        <v>171</v>
      </c>
      <c r="K158" s="49" t="s">
        <v>458</v>
      </c>
      <c r="L158" s="49"/>
      <c r="M158" s="49" t="s">
        <v>459</v>
      </c>
      <c r="N158" s="49"/>
    </row>
    <row r="159" spans="8:14" ht="14.25" customHeight="1">
      <c r="H159" s="49">
        <v>68</v>
      </c>
      <c r="I159" s="49" t="str">
        <f>IF('3 Horários e seleção'!$H$125="☑",IF('3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seleção'!$H$107="☑",1,0)+IF('3 Horários e seleção'!$H$108="☑",1,0)+IF('3 Horários e seleção'!$H$109="☑",1,0)+IF('3 Horários e seleção'!$H$119="☑",1,0)+IF('3 Horários e seleção'!$H$120="☑",1,0)+IF('3 Horários e seleção'!$H$121="☑",1,0)+IF('3 Horários e seleção'!$H$122="☑",1,0)+IF('3 Horários e seleção'!$H$123="☑",1,0)+IF('3 Horários e seleção'!$H$124="☑",1,0)+IF('3 Horários e seleção'!$H$125="☑",1,0),"")</f>
        <v/>
      </c>
      <c r="J159" s="49" t="s">
        <v>184</v>
      </c>
      <c r="K159" s="49"/>
      <c r="L159" s="49"/>
      <c r="M159" s="49"/>
      <c r="N159" s="49"/>
    </row>
    <row r="160" spans="8:14" ht="14.25" customHeight="1">
      <c r="H160" s="49">
        <v>56</v>
      </c>
      <c r="I160" s="49" t="str">
        <f>IF('3 Horários e seleção'!$H$135="☑",IF('3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seleção'!$H$107="☑",1,0)+IF('3 Horários e seleção'!$H$108="☑",1,0)+IF('3 Horários e seleção'!$H$109="☑",1,0)+IF('3 Horários e seleção'!$H$119="☑",1,0)+IF('3 Horários e seleção'!$H$120="☑",1,0)+IF('3 Horários e seleção'!$H$121="☑",1,0)+IF('3 Horários e seleção'!$H$122="☑",1,0)+IF('3 Horários e seleção'!$H$123="☑",1,0)+IF('3 Horários e seleção'!$H$124="☑",1,0)+IF('3 Horários e seleção'!$H$125="☑",1,0)+IF('3 Horários e seleção'!$H$135="☑",1,0),"")</f>
        <v/>
      </c>
      <c r="J160" s="49" t="s">
        <v>172</v>
      </c>
      <c r="K160" s="49"/>
      <c r="L160" s="49"/>
      <c r="M160" s="49"/>
      <c r="N160" s="49" t="s">
        <v>460</v>
      </c>
    </row>
    <row r="161" spans="8:14" ht="14.25" customHeight="1">
      <c r="H161" s="49">
        <v>57</v>
      </c>
      <c r="I161" s="49" t="str">
        <f>IF('3 Horários e seleção'!$H$136="☑",IF('3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seleção'!$H$107="☑",1,0)+IF('3 Horários e seleção'!$H$108="☑",1,0)+IF('3 Horários e seleção'!$H$109="☑",1,0)+IF('3 Horários e seleção'!$H$119="☑",1,0)+IF('3 Horários e seleção'!$H$120="☑",1,0)+IF('3 Horários e seleção'!$H$121="☑",1,0)+IF('3 Horários e seleção'!$H$122="☑",1,0)+IF('3 Horários e seleção'!$H$123="☑",1,0)+IF('3 Horários e seleção'!$H$124="☑",1,0)+IF('3 Horários e seleção'!$H$125="☑",1,0)+IF('3 Horários e seleção'!$H$135="☑",1,0)+IF('3 Horários e seleção'!$H$136="☑",1,0),"")</f>
        <v/>
      </c>
      <c r="J161" s="49" t="s">
        <v>173</v>
      </c>
      <c r="K161" s="49"/>
      <c r="L161" s="49"/>
      <c r="M161" s="49"/>
      <c r="N161" s="49"/>
    </row>
    <row r="162" spans="8:14" ht="14.25" customHeight="1">
      <c r="H162" s="49">
        <v>58</v>
      </c>
      <c r="I162" s="49" t="str">
        <f>IF('3 Horários e seleção'!$H$137="☑",IF('3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seleção'!$H$107="☑",1,0)+IF('3 Horários e seleção'!$H$108="☑",1,0)+IF('3 Horários e seleção'!$H$109="☑",1,0)+IF('3 Horários e seleção'!$H$119="☑",1,0)+IF('3 Horários e seleção'!$H$120="☑",1,0)+IF('3 Horários e seleção'!$H$121="☑",1,0)+IF('3 Horários e seleção'!$H$122="☑",1,0)+IF('3 Horários e seleção'!$H$123="☑",1,0)+IF('3 Horários e seleção'!$H$124="☑",1,0)+IF('3 Horários e seleção'!$H$125="☑",1,0)+IF('3 Horários e seleção'!$H$135="☑",1,0)+IF('3 Horários e seleção'!$H$136="☑",1,0)+IF('3 Horários e seleção'!$H$137="☑",1,0),"")</f>
        <v/>
      </c>
      <c r="J162" s="49" t="s">
        <v>174</v>
      </c>
      <c r="K162" s="49"/>
      <c r="L162" s="49"/>
      <c r="M162" s="49"/>
      <c r="N162" s="49"/>
    </row>
    <row r="163" spans="8:14" ht="14.25" customHeight="1">
      <c r="H163" s="49">
        <v>59</v>
      </c>
      <c r="I163" s="49" t="str">
        <f>IF('3 Horários e seleção'!$H$138="☑",IF('3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seleção'!$H$107="☑",1,0)+IF('3 Horários e seleção'!$H$108="☑",1,0)+IF('3 Horários e seleção'!$H$109="☑",1,0)+IF('3 Horários e seleção'!$H$119="☑",1,0)+IF('3 Horários e seleção'!$H$120="☑",1,0)+IF('3 Horários e seleção'!$H$121="☑",1,0)+IF('3 Horários e seleção'!$H$122="☑",1,0)+IF('3 Horários e seleção'!$H$123="☑",1,0)+IF('3 Horários e seleção'!$H$124="☑",1,0)+IF('3 Horários e seleção'!$H$125="☑",1,0)+IF('3 Horários e seleção'!$H$135="☑",1,0)+IF('3 Horários e seleção'!$H$136="☑",1,0)+IF('3 Horários e seleção'!$H$137="☑",1,0)+IF('3 Horários e seleção'!$H$138="☑",1,0),"")</f>
        <v/>
      </c>
      <c r="J163" s="49" t="s">
        <v>175</v>
      </c>
      <c r="K163" s="49"/>
      <c r="L163" s="49"/>
      <c r="M163" s="49"/>
      <c r="N163" s="49"/>
    </row>
    <row r="164" spans="8:14" ht="14.25" customHeight="1">
      <c r="H164" s="49">
        <v>60</v>
      </c>
      <c r="I164" s="49" t="str">
        <f>IF('3 Horários e seleção'!$H$139="☑",IF('3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seleção'!$H$107="☑",1,0)+IF('3 Horários e seleção'!$H$108="☑",1,0)+IF('3 Horários e seleção'!$H$109="☑",1,0)+IF('3 Horários e seleção'!$H$119="☑",1,0)+IF('3 Horários e seleção'!$H$120="☑",1,0)+IF('3 Horários e seleção'!$H$121="☑",1,0)+IF('3 Horários e seleção'!$H$122="☑",1,0)+IF('3 Horários e seleção'!$H$123="☑",1,0)+IF('3 Horários e seleção'!$H$124="☑",1,0)+IF('3 Horários e seleção'!$H$125="☑",1,0)+IF('3 Horários e seleção'!$H$135="☑",1,0)+IF('3 Horários e seleção'!$H$136="☑",1,0)+IF('3 Horários e seleção'!$H$137="☑",1,0)+IF('3 Horários e seleção'!$H$138="☑",1,0)+IF('3 Horários e seleção'!$H$139="☑",1,0),"")</f>
        <v/>
      </c>
      <c r="J164" s="49" t="s">
        <v>176</v>
      </c>
      <c r="K164" s="49"/>
      <c r="L164" s="49"/>
      <c r="M164" s="49"/>
      <c r="N164" s="49"/>
    </row>
    <row r="165" spans="8:14" ht="14.25" customHeight="1">
      <c r="H165" s="49">
        <v>69</v>
      </c>
      <c r="I165" s="49" t="str">
        <f>IF('3 Horários e seleção'!$H$140="☑",IF('3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seleção'!$H$107="☑",1,0)+IF('3 Horários e seleção'!$H$108="☑",1,0)+IF('3 Horários e seleção'!$H$109="☑",1,0)+IF('3 Horários e seleção'!$H$119="☑",1,0)+IF('3 Horários e seleção'!$H$120="☑",1,0)+IF('3 Horários e seleção'!$H$121="☑",1,0)+IF('3 Horários e seleção'!$H$122="☑",1,0)+IF('3 Horários e seleção'!$H$123="☑",1,0)+IF('3 Horários e seleção'!$H$124="☑",1,0)+IF('3 Horários e seleção'!$H$125="☑",1,0)+IF('3 Horários e seleção'!$H$135="☑",1,0)+IF('3 Horários e seleção'!$H$136="☑",1,0)+IF('3 Horários e seleção'!$H$137="☑",1,0)+IF('3 Horários e seleção'!$H$138="☑",1,0)+IF('3 Horários e seleção'!$H$139="☑",1,0)+IF('3 Horários e seleção'!$H$140="☑",1,0),"")</f>
        <v/>
      </c>
      <c r="J165" s="49" t="s">
        <v>185</v>
      </c>
      <c r="K165" s="49" t="s">
        <v>461</v>
      </c>
      <c r="L165" s="49"/>
      <c r="M165" s="49" t="s">
        <v>462</v>
      </c>
      <c r="N165" s="49"/>
    </row>
    <row r="166" spans="8:14" ht="14.25" customHeight="1">
      <c r="H166" s="49">
        <v>61</v>
      </c>
      <c r="I166" s="49" t="str">
        <f>IF('3 Horários e seleção'!$H$151="☑",IF('3 Horários e seleção'!$H$7="☑",1,0)+IF('3 Horários e seleção'!$H$8="☑",1,0)+IF('3 Horários e seleção'!$H$9="☑",1,0)+IF('3 Horários e seleção'!$H$10="☑",1,0)+IF('3 Horários e seleção'!$H$11="☑",1,0)+IF('3 Horários e seleção'!$H$12="☑",1,0)+IF('3 Horários e seleção'!$H$23="☑",1,0)+IF('3 Horários e seleção'!$H$24="☑",1,0)+IF('3 Horários e seleção'!$H$25="☑",1,0)+IF('3 Horários e seleção'!$H$26="☑",1,0)+IF('3 Horários e seleção'!$H$27="☑",1,0)+IF('3 Horários e seleção'!$H$28="☑",1,0)+IF('3 Horários e seleção'!$H$29="☑",1,0)+IF('3 Horários e seleção'!$H$39="☑",1,0)+IF('3 Horários e seleção'!$H$40="☑",1,0)+IF('3 Horários e seleção'!$H$41="☑",1,0)+IF('3 Horários e seleção'!$H$42="☑",1,0)+IF('3 Horários e seleção'!$H$43="☑",1,0)+IF('3 Horários e seleção'!$H$44="☑",1,0)+IF('3 Horários e seleção'!$H$45="☑",1,0)+IF('3 Horários e seleção'!$H$46="☑",1,0)+IF('3 Horários e seleção'!$H$55="☑",1,0)+IF('3 Horários e seleção'!$H$56="☑",1,0)+IF('3 Horários e seleção'!$H$57="☑",1,0)+IF('3 Horários e seleção'!$H$58="☑",1,0)+IF('3 Horários e seleção'!$H$59="☑",1,0)+IF('3 Horários e seleção'!$H$60="☑",1,0)+IF('3 Horários e seleção'!$H$61="☑",1,0)+IF('3 Horários e seleção'!$H$62="☑",1,0)+IF('3 Horários e seleção'!$H$71="☑",1,0)+IF('3 Horários e seleção'!$H$72="☑",1,0)+IF('3 Horários e seleção'!$H$73="☑",1,0)+IF('3 Horários e seleção'!$H$74="☑",1,0)+IF('3 Horários e seleção'!$H$75="☑",1,0)+IF('3 Horários e seleção'!$H$76="☑",1,0)+IF('3 Horários e seleção'!$H$77="☑",1,0)+IF('3 Horários e seleção'!$H$78="☑",1,0)+IF('3 Horários e seleção'!$H$79="☑",1,0)+IF('3 Horários e seleção'!$H$87="☑",1,0)+IF('3 Horários e seleção'!$H$88="☑",1,0)+IF('3 Horários e seleção'!$H$89="☑",1,0)+IF('3 Horários e seleção'!$H$90="☑",1,0)+IF('3 Horários e seleção'!$H$91="☑",1,0)+IF('3 Horários e seleção'!$H$92="☑",1,0)+IF('3 Horários e seleção'!$H$93="☑",1,0)+IF('3 Horários e seleção'!$H$94="☑",1,0)+IF('3 Horários e seleção'!$H$103="☑",1,0)+IF('3 Horários e seleção'!$H$104="☑",1,0)+IF('3 Horários e seleção'!$H$105="☑",1,0)+IF('3 Horários e seleção'!$H$106="☑",1,0)+IF('3 Horários e seleção'!$H$107="☑",1,0)+IF('3 Horários e seleção'!$H$108="☑",1,0)+IF('3 Horários e seleção'!$H$109="☑",1,0)+IF('3 Horários e seleção'!$H$119="☑",1,0)+IF('3 Horários e seleção'!$H$120="☑",1,0)+IF('3 Horários e seleção'!$H$121="☑",1,0)+IF('3 Horários e seleção'!$H$122="☑",1,0)+IF('3 Horários e seleção'!$H$123="☑",1,0)+IF('3 Horários e seleção'!$H$124="☑",1,0)+IF('3 Horários e seleção'!$H$125="☑",1,0)+IF('3 Horários e seleção'!$H$135="☑",1,0)+IF('3 Horários e seleção'!$H$136="☑",1,0)+IF('3 Horários e seleção'!$H$137="☑",1,0)+IF('3 Horários e seleção'!$H$138="☑",1,0)+IF('3 Horários e seleção'!$H$139="☑",1,0)+IF('3 Horários e seleção'!$H$140="☑",1,0)+IF('3 Horários e seleção'!$H$151="☑",1,0),"")</f>
        <v/>
      </c>
      <c r="J166" s="49" t="s">
        <v>177</v>
      </c>
      <c r="K166" s="49"/>
      <c r="L166" s="49"/>
      <c r="M166" s="49"/>
      <c r="N166" s="49" t="s">
        <v>463</v>
      </c>
    </row>
  </sheetData>
  <mergeCells count="4">
    <mergeCell ref="A1:F2"/>
    <mergeCell ref="A3:F3"/>
    <mergeCell ref="A20:F20"/>
    <mergeCell ref="A19:F19"/>
  </mergeCells>
  <conditionalFormatting sqref="A22:F88">
    <cfRule type="expression" dxfId="1" priority="1">
      <formula>$A22=""</formula>
    </cfRule>
  </conditionalFormatting>
  <conditionalFormatting sqref="B6:F17">
    <cfRule type="expression" dxfId="0" priority="2">
      <formula>LEN(B6)-LEN(SUBSTITUTE(B6,CHAR(10),""))&gt;2</formula>
    </cfRule>
  </conditionalFormatting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0"/>
  <sheetViews>
    <sheetView showGridLines="0" workbookViewId="0"/>
  </sheetViews>
  <sheetFormatPr defaultColWidth="14.42578125" defaultRowHeight="15"/>
  <cols>
    <col min="1" max="1" width="9" customWidth="1"/>
    <col min="2" max="2" width="38" customWidth="1"/>
    <col min="3" max="3" width="9" customWidth="1"/>
    <col min="4" max="5" width="34" customWidth="1"/>
    <col min="6" max="7" width="62" customWidth="1"/>
    <col min="8" max="8" width="28" customWidth="1"/>
    <col min="9" max="9" width="48" customWidth="1"/>
    <col min="10" max="10" width="30" customWidth="1"/>
  </cols>
  <sheetData>
    <row r="1" spans="1:10" ht="27.75" customHeight="1">
      <c r="A1" s="186" t="s">
        <v>464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0" ht="27.75" customHeight="1">
      <c r="A2" s="187" t="s">
        <v>465</v>
      </c>
      <c r="B2" s="161"/>
      <c r="C2" s="161"/>
      <c r="D2" s="161"/>
      <c r="E2" s="161"/>
      <c r="F2" s="161"/>
      <c r="G2" s="161"/>
      <c r="H2" s="161"/>
      <c r="I2" s="161"/>
      <c r="J2" s="161"/>
    </row>
    <row r="3" spans="1:10" ht="14.25" customHeight="1"/>
    <row r="4" spans="1:10" ht="33.75" customHeight="1">
      <c r="A4" s="50" t="s">
        <v>466</v>
      </c>
      <c r="B4" s="50" t="s">
        <v>187</v>
      </c>
      <c r="C4" s="50" t="s">
        <v>467</v>
      </c>
      <c r="D4" s="50" t="s">
        <v>188</v>
      </c>
      <c r="E4" s="50" t="s">
        <v>189</v>
      </c>
      <c r="F4" s="50" t="s">
        <v>468</v>
      </c>
      <c r="G4" s="50" t="s">
        <v>469</v>
      </c>
      <c r="H4" s="50" t="s">
        <v>470</v>
      </c>
      <c r="I4" s="50" t="s">
        <v>471</v>
      </c>
      <c r="J4" s="50" t="s">
        <v>472</v>
      </c>
    </row>
    <row r="5" spans="1:10" ht="33.75" customHeight="1">
      <c r="A5" s="51">
        <v>1</v>
      </c>
      <c r="B5" s="52" t="s">
        <v>214</v>
      </c>
      <c r="C5" s="51">
        <v>1</v>
      </c>
      <c r="D5" s="52"/>
      <c r="E5" s="52"/>
      <c r="F5" s="52"/>
      <c r="G5" s="52"/>
      <c r="H5" s="52"/>
      <c r="I5" s="52" t="s">
        <v>97</v>
      </c>
      <c r="J5" s="52" t="s">
        <v>473</v>
      </c>
    </row>
    <row r="6" spans="1:10" ht="33.75" customHeight="1">
      <c r="A6" s="53">
        <v>2</v>
      </c>
      <c r="B6" s="54" t="s">
        <v>218</v>
      </c>
      <c r="C6" s="53">
        <v>1</v>
      </c>
      <c r="D6" s="54"/>
      <c r="E6" s="54"/>
      <c r="F6" s="54"/>
      <c r="G6" s="54"/>
      <c r="H6" s="54"/>
      <c r="I6" s="54" t="s">
        <v>99</v>
      </c>
      <c r="J6" s="54" t="s">
        <v>474</v>
      </c>
    </row>
    <row r="7" spans="1:10" ht="33.75" customHeight="1">
      <c r="A7" s="53">
        <v>3</v>
      </c>
      <c r="B7" s="54" t="s">
        <v>222</v>
      </c>
      <c r="C7" s="53">
        <v>1</v>
      </c>
      <c r="D7" s="54"/>
      <c r="E7" s="54"/>
      <c r="F7" s="54"/>
      <c r="G7" s="54"/>
      <c r="H7" s="54"/>
      <c r="I7" s="54" t="s">
        <v>100</v>
      </c>
      <c r="J7" s="54" t="s">
        <v>473</v>
      </c>
    </row>
    <row r="8" spans="1:10" ht="33.75" customHeight="1">
      <c r="A8" s="53">
        <v>4</v>
      </c>
      <c r="B8" s="54" t="s">
        <v>226</v>
      </c>
      <c r="C8" s="53">
        <v>1</v>
      </c>
      <c r="D8" s="54"/>
      <c r="E8" s="54"/>
      <c r="F8" s="54"/>
      <c r="G8" s="54"/>
      <c r="H8" s="54"/>
      <c r="I8" s="54" t="s">
        <v>103</v>
      </c>
      <c r="J8" s="54" t="s">
        <v>475</v>
      </c>
    </row>
    <row r="9" spans="1:10" ht="33.75" customHeight="1">
      <c r="A9" s="53">
        <v>5</v>
      </c>
      <c r="B9" s="54" t="s">
        <v>230</v>
      </c>
      <c r="C9" s="53">
        <v>1</v>
      </c>
      <c r="D9" s="54"/>
      <c r="E9" s="54"/>
      <c r="F9" s="54"/>
      <c r="G9" s="54"/>
      <c r="H9" s="54"/>
      <c r="I9" s="54" t="s">
        <v>105</v>
      </c>
      <c r="J9" s="54" t="s">
        <v>476</v>
      </c>
    </row>
    <row r="10" spans="1:10" ht="33.75" customHeight="1">
      <c r="A10" s="53">
        <v>6</v>
      </c>
      <c r="B10" s="54" t="s">
        <v>233</v>
      </c>
      <c r="C10" s="53">
        <v>1</v>
      </c>
      <c r="D10" s="54"/>
      <c r="E10" s="54"/>
      <c r="F10" s="54"/>
      <c r="G10" s="54"/>
      <c r="H10" s="54"/>
      <c r="I10" s="54" t="s">
        <v>107</v>
      </c>
      <c r="J10" s="54" t="s">
        <v>477</v>
      </c>
    </row>
    <row r="11" spans="1:10" ht="33.75" customHeight="1">
      <c r="A11" s="53">
        <v>7</v>
      </c>
      <c r="B11" s="54" t="s">
        <v>245</v>
      </c>
      <c r="C11" s="53">
        <v>2</v>
      </c>
      <c r="D11" s="54"/>
      <c r="E11" s="54"/>
      <c r="F11" s="54"/>
      <c r="G11" s="54"/>
      <c r="H11" s="54"/>
      <c r="I11" s="54" t="s">
        <v>110</v>
      </c>
      <c r="J11" s="54" t="s">
        <v>478</v>
      </c>
    </row>
    <row r="12" spans="1:10" ht="33.75" customHeight="1">
      <c r="A12" s="53">
        <v>8</v>
      </c>
      <c r="B12" s="54" t="s">
        <v>250</v>
      </c>
      <c r="C12" s="53">
        <v>2</v>
      </c>
      <c r="D12" s="54"/>
      <c r="E12" s="54" t="s">
        <v>110</v>
      </c>
      <c r="F12" s="54"/>
      <c r="G12" s="54" t="s">
        <v>110</v>
      </c>
      <c r="H12" s="54"/>
      <c r="I12" s="54" t="s">
        <v>112</v>
      </c>
      <c r="J12" s="54" t="s">
        <v>479</v>
      </c>
    </row>
    <row r="13" spans="1:10" ht="33.75" customHeight="1">
      <c r="A13" s="53">
        <v>9</v>
      </c>
      <c r="B13" s="54" t="s">
        <v>255</v>
      </c>
      <c r="C13" s="53">
        <v>2</v>
      </c>
      <c r="D13" s="54"/>
      <c r="E13" s="54"/>
      <c r="F13" s="54"/>
      <c r="G13" s="54"/>
      <c r="H13" s="54"/>
      <c r="I13" s="54" t="s">
        <v>114</v>
      </c>
      <c r="J13" s="54" t="s">
        <v>480</v>
      </c>
    </row>
    <row r="14" spans="1:10" ht="33.75" customHeight="1">
      <c r="A14" s="53">
        <v>10</v>
      </c>
      <c r="B14" s="54" t="s">
        <v>257</v>
      </c>
      <c r="C14" s="53">
        <v>2</v>
      </c>
      <c r="D14" s="54"/>
      <c r="E14" s="54" t="s">
        <v>114</v>
      </c>
      <c r="F14" s="54"/>
      <c r="G14" s="54" t="s">
        <v>114</v>
      </c>
      <c r="H14" s="54"/>
      <c r="I14" s="54" t="s">
        <v>116</v>
      </c>
      <c r="J14" s="54" t="s">
        <v>473</v>
      </c>
    </row>
    <row r="15" spans="1:10" ht="33.75" customHeight="1">
      <c r="A15" s="53">
        <v>11</v>
      </c>
      <c r="B15" s="54" t="s">
        <v>259</v>
      </c>
      <c r="C15" s="53">
        <v>2</v>
      </c>
      <c r="D15" s="54" t="s">
        <v>103</v>
      </c>
      <c r="E15" s="54"/>
      <c r="F15" s="54" t="s">
        <v>103</v>
      </c>
      <c r="G15" s="54" t="s">
        <v>103</v>
      </c>
      <c r="H15" s="54"/>
      <c r="I15" s="54" t="s">
        <v>119</v>
      </c>
      <c r="J15" s="54" t="s">
        <v>481</v>
      </c>
    </row>
    <row r="16" spans="1:10" ht="33.75" customHeight="1">
      <c r="A16" s="53">
        <v>12</v>
      </c>
      <c r="B16" s="54" t="s">
        <v>261</v>
      </c>
      <c r="C16" s="53">
        <v>2</v>
      </c>
      <c r="D16" s="54"/>
      <c r="E16" s="54"/>
      <c r="F16" s="54"/>
      <c r="G16" s="54"/>
      <c r="H16" s="54"/>
      <c r="I16" s="54" t="s">
        <v>121</v>
      </c>
      <c r="J16" s="54" t="s">
        <v>482</v>
      </c>
    </row>
    <row r="17" spans="1:10" ht="33.75" customHeight="1">
      <c r="A17" s="53">
        <v>13</v>
      </c>
      <c r="B17" s="54" t="s">
        <v>263</v>
      </c>
      <c r="C17" s="53">
        <v>2</v>
      </c>
      <c r="D17" s="54" t="s">
        <v>107</v>
      </c>
      <c r="E17" s="54"/>
      <c r="F17" s="54" t="s">
        <v>107</v>
      </c>
      <c r="G17" s="54" t="s">
        <v>107</v>
      </c>
      <c r="H17" s="54"/>
      <c r="I17" s="54" t="s">
        <v>123</v>
      </c>
      <c r="J17" s="54" t="s">
        <v>483</v>
      </c>
    </row>
    <row r="18" spans="1:10" ht="33.75" customHeight="1">
      <c r="A18" s="53">
        <v>14</v>
      </c>
      <c r="B18" s="54" t="s">
        <v>269</v>
      </c>
      <c r="C18" s="53">
        <v>3</v>
      </c>
      <c r="D18" s="54" t="s">
        <v>99</v>
      </c>
      <c r="E18" s="54"/>
      <c r="F18" s="54" t="s">
        <v>99</v>
      </c>
      <c r="G18" s="54" t="s">
        <v>99</v>
      </c>
      <c r="H18" s="54"/>
      <c r="I18" s="54" t="s">
        <v>125</v>
      </c>
      <c r="J18" s="54" t="s">
        <v>484</v>
      </c>
    </row>
    <row r="19" spans="1:10" ht="33.75" customHeight="1">
      <c r="A19" s="53">
        <v>15</v>
      </c>
      <c r="B19" s="54" t="s">
        <v>273</v>
      </c>
      <c r="C19" s="53">
        <v>3</v>
      </c>
      <c r="D19" s="54" t="s">
        <v>415</v>
      </c>
      <c r="E19" s="54"/>
      <c r="F19" s="54" t="s">
        <v>415</v>
      </c>
      <c r="G19" s="54" t="s">
        <v>415</v>
      </c>
      <c r="H19" s="54"/>
      <c r="I19" s="54" t="s">
        <v>127</v>
      </c>
      <c r="J19" s="54" t="s">
        <v>485</v>
      </c>
    </row>
    <row r="20" spans="1:10" ht="33.75" customHeight="1">
      <c r="A20" s="53">
        <v>16</v>
      </c>
      <c r="B20" s="54" t="s">
        <v>278</v>
      </c>
      <c r="C20" s="53">
        <v>3</v>
      </c>
      <c r="D20" s="54" t="s">
        <v>112</v>
      </c>
      <c r="E20" s="54" t="s">
        <v>127</v>
      </c>
      <c r="F20" s="54" t="s">
        <v>112</v>
      </c>
      <c r="G20" s="54" t="s">
        <v>416</v>
      </c>
      <c r="H20" s="54"/>
      <c r="I20" s="54" t="s">
        <v>129</v>
      </c>
      <c r="J20" s="54" t="s">
        <v>473</v>
      </c>
    </row>
    <row r="21" spans="1:10" ht="33.75" customHeight="1">
      <c r="A21" s="53">
        <v>17</v>
      </c>
      <c r="B21" s="54" t="s">
        <v>280</v>
      </c>
      <c r="C21" s="53">
        <v>3</v>
      </c>
      <c r="D21" s="54"/>
      <c r="E21" s="54"/>
      <c r="F21" s="54"/>
      <c r="G21" s="54"/>
      <c r="H21" s="54"/>
      <c r="I21" s="54" t="s">
        <v>131</v>
      </c>
      <c r="J21" s="54" t="s">
        <v>486</v>
      </c>
    </row>
    <row r="22" spans="1:10" ht="33.75" customHeight="1">
      <c r="A22" s="53">
        <v>18</v>
      </c>
      <c r="B22" s="54" t="s">
        <v>282</v>
      </c>
      <c r="C22" s="53">
        <v>3</v>
      </c>
      <c r="D22" s="54"/>
      <c r="E22" s="54" t="s">
        <v>131</v>
      </c>
      <c r="F22" s="54"/>
      <c r="G22" s="54" t="s">
        <v>131</v>
      </c>
      <c r="H22" s="54"/>
      <c r="I22" s="54" t="s">
        <v>133</v>
      </c>
      <c r="J22" s="54" t="s">
        <v>473</v>
      </c>
    </row>
    <row r="23" spans="1:10" ht="33.75" customHeight="1">
      <c r="A23" s="53">
        <v>19</v>
      </c>
      <c r="B23" s="54" t="s">
        <v>283</v>
      </c>
      <c r="C23" s="53">
        <v>3</v>
      </c>
      <c r="D23" s="54" t="s">
        <v>417</v>
      </c>
      <c r="E23" s="54"/>
      <c r="F23" s="54" t="s">
        <v>487</v>
      </c>
      <c r="G23" s="54" t="s">
        <v>417</v>
      </c>
      <c r="H23" s="54"/>
      <c r="I23" s="54" t="s">
        <v>135</v>
      </c>
      <c r="J23" s="54" t="s">
        <v>488</v>
      </c>
    </row>
    <row r="24" spans="1:10" ht="33.75" customHeight="1">
      <c r="A24" s="53">
        <v>20</v>
      </c>
      <c r="B24" s="54" t="s">
        <v>285</v>
      </c>
      <c r="C24" s="53">
        <v>3</v>
      </c>
      <c r="D24" s="54" t="s">
        <v>417</v>
      </c>
      <c r="E24" s="54"/>
      <c r="F24" s="54" t="s">
        <v>487</v>
      </c>
      <c r="G24" s="54" t="s">
        <v>417</v>
      </c>
      <c r="H24" s="54"/>
      <c r="I24" s="54" t="s">
        <v>136</v>
      </c>
      <c r="J24" s="54" t="s">
        <v>488</v>
      </c>
    </row>
    <row r="25" spans="1:10" ht="33.75" customHeight="1">
      <c r="A25" s="53">
        <v>21</v>
      </c>
      <c r="B25" s="54" t="s">
        <v>286</v>
      </c>
      <c r="C25" s="53">
        <v>3</v>
      </c>
      <c r="D25" s="54" t="s">
        <v>103</v>
      </c>
      <c r="E25" s="54"/>
      <c r="F25" s="54" t="s">
        <v>103</v>
      </c>
      <c r="G25" s="54" t="s">
        <v>103</v>
      </c>
      <c r="H25" s="54"/>
      <c r="I25" s="54" t="s">
        <v>137</v>
      </c>
      <c r="J25" s="54" t="s">
        <v>473</v>
      </c>
    </row>
    <row r="26" spans="1:10" ht="33.75" customHeight="1">
      <c r="A26" s="53">
        <v>22</v>
      </c>
      <c r="B26" s="54" t="s">
        <v>294</v>
      </c>
      <c r="C26" s="53">
        <v>4</v>
      </c>
      <c r="D26" s="54" t="s">
        <v>418</v>
      </c>
      <c r="E26" s="54"/>
      <c r="F26" s="54" t="s">
        <v>489</v>
      </c>
      <c r="G26" s="54" t="s">
        <v>419</v>
      </c>
      <c r="H26" s="54"/>
      <c r="I26" s="54" t="s">
        <v>138</v>
      </c>
      <c r="J26" s="54" t="s">
        <v>490</v>
      </c>
    </row>
    <row r="27" spans="1:10" ht="33.75" customHeight="1">
      <c r="A27" s="53">
        <v>23</v>
      </c>
      <c r="B27" s="54" t="s">
        <v>298</v>
      </c>
      <c r="C27" s="53">
        <v>4</v>
      </c>
      <c r="D27" s="54" t="s">
        <v>112</v>
      </c>
      <c r="E27" s="54" t="s">
        <v>138</v>
      </c>
      <c r="F27" s="54" t="s">
        <v>112</v>
      </c>
      <c r="G27" s="54" t="s">
        <v>420</v>
      </c>
      <c r="H27" s="54"/>
      <c r="I27" s="54" t="s">
        <v>139</v>
      </c>
      <c r="J27" s="54" t="s">
        <v>491</v>
      </c>
    </row>
    <row r="28" spans="1:10" ht="33.75" customHeight="1">
      <c r="A28" s="53">
        <v>24</v>
      </c>
      <c r="B28" s="54" t="s">
        <v>301</v>
      </c>
      <c r="C28" s="53">
        <v>4</v>
      </c>
      <c r="D28" s="54"/>
      <c r="E28" s="54"/>
      <c r="F28" s="54"/>
      <c r="G28" s="54"/>
      <c r="H28" s="54"/>
      <c r="I28" s="54" t="s">
        <v>140</v>
      </c>
      <c r="J28" s="54" t="s">
        <v>492</v>
      </c>
    </row>
    <row r="29" spans="1:10" ht="33.75" customHeight="1">
      <c r="A29" s="53">
        <v>25</v>
      </c>
      <c r="B29" s="54" t="s">
        <v>303</v>
      </c>
      <c r="C29" s="53">
        <v>4</v>
      </c>
      <c r="D29" s="54"/>
      <c r="E29" s="54" t="s">
        <v>140</v>
      </c>
      <c r="F29" s="54"/>
      <c r="G29" s="54" t="s">
        <v>140</v>
      </c>
      <c r="H29" s="54"/>
      <c r="I29" s="54" t="s">
        <v>141</v>
      </c>
      <c r="J29" s="54" t="s">
        <v>473</v>
      </c>
    </row>
    <row r="30" spans="1:10" ht="33.75" customHeight="1">
      <c r="A30" s="53">
        <v>26</v>
      </c>
      <c r="B30" s="54" t="s">
        <v>304</v>
      </c>
      <c r="C30" s="53">
        <v>4</v>
      </c>
      <c r="D30" s="54" t="s">
        <v>421</v>
      </c>
      <c r="E30" s="54"/>
      <c r="F30" s="54" t="s">
        <v>493</v>
      </c>
      <c r="G30" s="54" t="s">
        <v>421</v>
      </c>
      <c r="H30" s="54"/>
      <c r="I30" s="54" t="s">
        <v>142</v>
      </c>
      <c r="J30" s="54" t="s">
        <v>494</v>
      </c>
    </row>
    <row r="31" spans="1:10" ht="33.75" customHeight="1">
      <c r="A31" s="53">
        <v>27</v>
      </c>
      <c r="B31" s="54" t="s">
        <v>306</v>
      </c>
      <c r="C31" s="53">
        <v>4</v>
      </c>
      <c r="D31" s="54"/>
      <c r="E31" s="54"/>
      <c r="F31" s="54"/>
      <c r="G31" s="54"/>
      <c r="H31" s="54"/>
      <c r="I31" s="54" t="s">
        <v>143</v>
      </c>
      <c r="J31" s="54" t="s">
        <v>473</v>
      </c>
    </row>
    <row r="32" spans="1:10" ht="33.75" customHeight="1">
      <c r="A32" s="53">
        <v>28</v>
      </c>
      <c r="B32" s="54" t="s">
        <v>308</v>
      </c>
      <c r="C32" s="53">
        <v>4</v>
      </c>
      <c r="D32" s="54" t="s">
        <v>422</v>
      </c>
      <c r="E32" s="54"/>
      <c r="F32" s="54" t="s">
        <v>495</v>
      </c>
      <c r="G32" s="54" t="s">
        <v>422</v>
      </c>
      <c r="H32" s="54"/>
      <c r="I32" s="54" t="s">
        <v>144</v>
      </c>
      <c r="J32" s="54" t="s">
        <v>496</v>
      </c>
    </row>
    <row r="33" spans="1:10" ht="33.75" customHeight="1">
      <c r="A33" s="53">
        <v>29</v>
      </c>
      <c r="B33" s="54" t="s">
        <v>316</v>
      </c>
      <c r="C33" s="53">
        <v>5</v>
      </c>
      <c r="D33" s="54" t="s">
        <v>423</v>
      </c>
      <c r="E33" s="54"/>
      <c r="F33" s="54" t="s">
        <v>497</v>
      </c>
      <c r="G33" s="54" t="s">
        <v>424</v>
      </c>
      <c r="H33" s="54"/>
      <c r="I33" s="54" t="s">
        <v>145</v>
      </c>
      <c r="J33" s="54" t="s">
        <v>491</v>
      </c>
    </row>
    <row r="34" spans="1:10" ht="33.75" customHeight="1">
      <c r="A34" s="53">
        <v>30</v>
      </c>
      <c r="B34" s="54" t="s">
        <v>319</v>
      </c>
      <c r="C34" s="53">
        <v>5</v>
      </c>
      <c r="D34" s="54" t="s">
        <v>425</v>
      </c>
      <c r="E34" s="54" t="s">
        <v>145</v>
      </c>
      <c r="F34" s="54" t="s">
        <v>498</v>
      </c>
      <c r="G34" s="54" t="s">
        <v>426</v>
      </c>
      <c r="H34" s="54"/>
      <c r="I34" s="54" t="s">
        <v>146</v>
      </c>
      <c r="J34" s="54" t="s">
        <v>473</v>
      </c>
    </row>
    <row r="35" spans="1:10" ht="33.75" customHeight="1">
      <c r="A35" s="53">
        <v>31</v>
      </c>
      <c r="B35" s="54" t="s">
        <v>322</v>
      </c>
      <c r="C35" s="53">
        <v>5</v>
      </c>
      <c r="D35" s="54" t="s">
        <v>423</v>
      </c>
      <c r="E35" s="54"/>
      <c r="F35" s="54" t="s">
        <v>497</v>
      </c>
      <c r="G35" s="54" t="s">
        <v>424</v>
      </c>
      <c r="H35" s="54"/>
      <c r="I35" s="54" t="s">
        <v>147</v>
      </c>
      <c r="J35" s="54" t="s">
        <v>499</v>
      </c>
    </row>
    <row r="36" spans="1:10" ht="33.75" customHeight="1">
      <c r="A36" s="53">
        <v>32</v>
      </c>
      <c r="B36" s="54" t="s">
        <v>324</v>
      </c>
      <c r="C36" s="53">
        <v>5</v>
      </c>
      <c r="D36" s="54" t="s">
        <v>112</v>
      </c>
      <c r="E36" s="54" t="s">
        <v>147</v>
      </c>
      <c r="F36" s="54" t="s">
        <v>112</v>
      </c>
      <c r="G36" s="54" t="s">
        <v>427</v>
      </c>
      <c r="H36" s="54"/>
      <c r="I36" s="54" t="s">
        <v>148</v>
      </c>
      <c r="J36" s="54" t="s">
        <v>473</v>
      </c>
    </row>
    <row r="37" spans="1:10" ht="33.75" customHeight="1">
      <c r="A37" s="53">
        <v>33</v>
      </c>
      <c r="B37" s="54" t="s">
        <v>325</v>
      </c>
      <c r="C37" s="53">
        <v>5</v>
      </c>
      <c r="D37" s="54" t="s">
        <v>142</v>
      </c>
      <c r="E37" s="54"/>
      <c r="F37" s="54" t="s">
        <v>500</v>
      </c>
      <c r="G37" s="54" t="s">
        <v>428</v>
      </c>
      <c r="H37" s="54"/>
      <c r="I37" s="54" t="s">
        <v>149</v>
      </c>
      <c r="J37" s="54" t="s">
        <v>473</v>
      </c>
    </row>
    <row r="38" spans="1:10" ht="33.75" customHeight="1">
      <c r="A38" s="53">
        <v>34</v>
      </c>
      <c r="B38" s="54" t="s">
        <v>327</v>
      </c>
      <c r="C38" s="53">
        <v>5</v>
      </c>
      <c r="D38" s="54" t="s">
        <v>429</v>
      </c>
      <c r="E38" s="54"/>
      <c r="F38" s="54" t="s">
        <v>501</v>
      </c>
      <c r="G38" s="54" t="s">
        <v>430</v>
      </c>
      <c r="H38" s="54"/>
      <c r="I38" s="54" t="s">
        <v>150</v>
      </c>
      <c r="J38" s="54" t="s">
        <v>502</v>
      </c>
    </row>
    <row r="39" spans="1:10" ht="33.75" customHeight="1">
      <c r="A39" s="53">
        <v>35</v>
      </c>
      <c r="B39" s="54" t="s">
        <v>329</v>
      </c>
      <c r="C39" s="53">
        <v>5</v>
      </c>
      <c r="D39" s="54" t="s">
        <v>431</v>
      </c>
      <c r="E39" s="54"/>
      <c r="F39" s="54" t="s">
        <v>503</v>
      </c>
      <c r="G39" s="54" t="s">
        <v>432</v>
      </c>
      <c r="H39" s="54"/>
      <c r="I39" s="54" t="s">
        <v>151</v>
      </c>
      <c r="J39" s="54" t="s">
        <v>504</v>
      </c>
    </row>
    <row r="40" spans="1:10" ht="33.75" customHeight="1">
      <c r="A40" s="53">
        <v>36</v>
      </c>
      <c r="B40" s="54" t="s">
        <v>330</v>
      </c>
      <c r="C40" s="53">
        <v>5</v>
      </c>
      <c r="D40" s="54" t="s">
        <v>144</v>
      </c>
      <c r="E40" s="54"/>
      <c r="F40" s="54" t="s">
        <v>505</v>
      </c>
      <c r="G40" s="54" t="s">
        <v>433</v>
      </c>
      <c r="H40" s="54"/>
      <c r="I40" s="54" t="s">
        <v>152</v>
      </c>
      <c r="J40" s="54" t="s">
        <v>506</v>
      </c>
    </row>
    <row r="41" spans="1:10" ht="33.75" customHeight="1">
      <c r="A41" s="53">
        <v>37</v>
      </c>
      <c r="B41" s="54" t="s">
        <v>338</v>
      </c>
      <c r="C41" s="53">
        <v>6</v>
      </c>
      <c r="D41" s="54" t="s">
        <v>434</v>
      </c>
      <c r="E41" s="54"/>
      <c r="F41" s="54" t="s">
        <v>507</v>
      </c>
      <c r="G41" s="54" t="s">
        <v>435</v>
      </c>
      <c r="H41" s="54"/>
      <c r="I41" s="54" t="s">
        <v>153</v>
      </c>
      <c r="J41" s="54" t="s">
        <v>508</v>
      </c>
    </row>
    <row r="42" spans="1:10" ht="33.75" customHeight="1">
      <c r="A42" s="53">
        <v>38</v>
      </c>
      <c r="B42" s="54" t="s">
        <v>341</v>
      </c>
      <c r="C42" s="53">
        <v>6</v>
      </c>
      <c r="D42" s="54" t="s">
        <v>436</v>
      </c>
      <c r="E42" s="54"/>
      <c r="F42" s="54" t="s">
        <v>509</v>
      </c>
      <c r="G42" s="54" t="s">
        <v>436</v>
      </c>
      <c r="H42" s="54" t="s">
        <v>437</v>
      </c>
      <c r="I42" s="54" t="s">
        <v>154</v>
      </c>
      <c r="J42" s="54" t="s">
        <v>473</v>
      </c>
    </row>
    <row r="43" spans="1:10" ht="33.75" customHeight="1">
      <c r="A43" s="53">
        <v>39</v>
      </c>
      <c r="B43" s="54" t="s">
        <v>343</v>
      </c>
      <c r="C43" s="53">
        <v>6</v>
      </c>
      <c r="D43" s="54" t="s">
        <v>438</v>
      </c>
      <c r="E43" s="54"/>
      <c r="F43" s="54" t="s">
        <v>510</v>
      </c>
      <c r="G43" s="54" t="s">
        <v>439</v>
      </c>
      <c r="H43" s="54"/>
      <c r="I43" s="54" t="s">
        <v>155</v>
      </c>
      <c r="J43" s="54" t="s">
        <v>511</v>
      </c>
    </row>
    <row r="44" spans="1:10" ht="33.75" customHeight="1">
      <c r="A44" s="53">
        <v>40</v>
      </c>
      <c r="B44" s="54" t="s">
        <v>344</v>
      </c>
      <c r="C44" s="53">
        <v>6</v>
      </c>
      <c r="D44" s="54" t="s">
        <v>142</v>
      </c>
      <c r="E44" s="54"/>
      <c r="F44" s="54" t="s">
        <v>500</v>
      </c>
      <c r="G44" s="54" t="s">
        <v>428</v>
      </c>
      <c r="H44" s="54"/>
      <c r="I44" s="54" t="s">
        <v>156</v>
      </c>
      <c r="J44" s="54" t="s">
        <v>473</v>
      </c>
    </row>
    <row r="45" spans="1:10" ht="33.75" customHeight="1">
      <c r="A45" s="53">
        <v>41</v>
      </c>
      <c r="B45" s="54" t="s">
        <v>346</v>
      </c>
      <c r="C45" s="53">
        <v>6</v>
      </c>
      <c r="D45" s="54" t="s">
        <v>440</v>
      </c>
      <c r="E45" s="54"/>
      <c r="F45" s="54" t="s">
        <v>512</v>
      </c>
      <c r="G45" s="54" t="s">
        <v>441</v>
      </c>
      <c r="H45" s="54"/>
      <c r="I45" s="54" t="s">
        <v>157</v>
      </c>
      <c r="J45" s="54" t="s">
        <v>513</v>
      </c>
    </row>
    <row r="46" spans="1:10" ht="33.75" customHeight="1">
      <c r="A46" s="53">
        <v>42</v>
      </c>
      <c r="B46" s="54" t="s">
        <v>348</v>
      </c>
      <c r="C46" s="53">
        <v>6</v>
      </c>
      <c r="D46" s="54" t="s">
        <v>151</v>
      </c>
      <c r="E46" s="54" t="s">
        <v>157</v>
      </c>
      <c r="F46" s="54" t="s">
        <v>512</v>
      </c>
      <c r="G46" s="54" t="s">
        <v>442</v>
      </c>
      <c r="H46" s="54"/>
      <c r="I46" s="54" t="s">
        <v>158</v>
      </c>
      <c r="J46" s="54" t="s">
        <v>473</v>
      </c>
    </row>
    <row r="47" spans="1:10" ht="33.75" customHeight="1">
      <c r="A47" s="53">
        <v>43</v>
      </c>
      <c r="B47" s="54" t="s">
        <v>350</v>
      </c>
      <c r="C47" s="53">
        <v>6</v>
      </c>
      <c r="D47" s="54" t="s">
        <v>443</v>
      </c>
      <c r="E47" s="54"/>
      <c r="F47" s="54" t="s">
        <v>514</v>
      </c>
      <c r="G47" s="54" t="s">
        <v>444</v>
      </c>
      <c r="H47" s="54"/>
      <c r="I47" s="54" t="s">
        <v>159</v>
      </c>
      <c r="J47" s="54" t="s">
        <v>515</v>
      </c>
    </row>
    <row r="48" spans="1:10" ht="33.75" customHeight="1">
      <c r="A48" s="53">
        <v>44</v>
      </c>
      <c r="B48" s="54" t="s">
        <v>356</v>
      </c>
      <c r="C48" s="53">
        <v>7</v>
      </c>
      <c r="D48" s="54" t="s">
        <v>445</v>
      </c>
      <c r="E48" s="54"/>
      <c r="F48" s="54" t="s">
        <v>516</v>
      </c>
      <c r="G48" s="54" t="s">
        <v>446</v>
      </c>
      <c r="H48" s="54"/>
      <c r="I48" s="54" t="s">
        <v>160</v>
      </c>
      <c r="J48" s="54" t="s">
        <v>517</v>
      </c>
    </row>
    <row r="49" spans="1:10" ht="33.75" customHeight="1">
      <c r="A49" s="53">
        <v>45</v>
      </c>
      <c r="B49" s="54" t="s">
        <v>357</v>
      </c>
      <c r="C49" s="53">
        <v>7</v>
      </c>
      <c r="D49" s="54" t="s">
        <v>447</v>
      </c>
      <c r="E49" s="54"/>
      <c r="F49" s="54" t="s">
        <v>518</v>
      </c>
      <c r="G49" s="54" t="s">
        <v>448</v>
      </c>
      <c r="H49" s="54"/>
      <c r="I49" s="54" t="s">
        <v>161</v>
      </c>
      <c r="J49" s="54" t="s">
        <v>519</v>
      </c>
    </row>
    <row r="50" spans="1:10" ht="33.75" customHeight="1">
      <c r="A50" s="53">
        <v>46</v>
      </c>
      <c r="B50" s="54" t="s">
        <v>363</v>
      </c>
      <c r="C50" s="53">
        <v>7</v>
      </c>
      <c r="D50" s="54" t="s">
        <v>150</v>
      </c>
      <c r="E50" s="54"/>
      <c r="F50" s="54" t="s">
        <v>520</v>
      </c>
      <c r="G50" s="54" t="s">
        <v>449</v>
      </c>
      <c r="H50" s="54"/>
      <c r="I50" s="54" t="s">
        <v>162</v>
      </c>
      <c r="J50" s="54" t="s">
        <v>473</v>
      </c>
    </row>
    <row r="51" spans="1:10" ht="33.75" customHeight="1">
      <c r="A51" s="53">
        <v>47</v>
      </c>
      <c r="B51" s="54" t="s">
        <v>364</v>
      </c>
      <c r="C51" s="53">
        <v>7</v>
      </c>
      <c r="D51" s="54"/>
      <c r="E51" s="54"/>
      <c r="F51" s="54"/>
      <c r="G51" s="54"/>
      <c r="H51" s="54"/>
      <c r="I51" s="54" t="s">
        <v>163</v>
      </c>
      <c r="J51" s="54" t="s">
        <v>521</v>
      </c>
    </row>
    <row r="52" spans="1:10" ht="33.75" customHeight="1">
      <c r="A52" s="53">
        <v>48</v>
      </c>
      <c r="B52" s="54" t="s">
        <v>365</v>
      </c>
      <c r="C52" s="53">
        <v>7</v>
      </c>
      <c r="D52" s="54" t="s">
        <v>110</v>
      </c>
      <c r="E52" s="54"/>
      <c r="F52" s="54" t="s">
        <v>110</v>
      </c>
      <c r="G52" s="54" t="s">
        <v>110</v>
      </c>
      <c r="H52" s="54"/>
      <c r="I52" s="54" t="s">
        <v>164</v>
      </c>
      <c r="J52" s="54" t="s">
        <v>473</v>
      </c>
    </row>
    <row r="53" spans="1:10" ht="33.75" customHeight="1">
      <c r="A53" s="53">
        <v>49</v>
      </c>
      <c r="B53" s="54" t="s">
        <v>366</v>
      </c>
      <c r="C53" s="53">
        <v>7</v>
      </c>
      <c r="D53" s="54" t="s">
        <v>450</v>
      </c>
      <c r="E53" s="54"/>
      <c r="F53" s="54" t="s">
        <v>522</v>
      </c>
      <c r="G53" s="54" t="s">
        <v>451</v>
      </c>
      <c r="H53" s="54"/>
      <c r="I53" s="54" t="s">
        <v>165</v>
      </c>
      <c r="J53" s="54" t="s">
        <v>523</v>
      </c>
    </row>
    <row r="54" spans="1:10" ht="33.75" customHeight="1">
      <c r="A54" s="53">
        <v>50</v>
      </c>
      <c r="B54" s="54" t="s">
        <v>374</v>
      </c>
      <c r="C54" s="53">
        <v>8</v>
      </c>
      <c r="D54" s="54" t="s">
        <v>452</v>
      </c>
      <c r="E54" s="54"/>
      <c r="F54" s="54" t="s">
        <v>524</v>
      </c>
      <c r="G54" s="54" t="s">
        <v>453</v>
      </c>
      <c r="H54" s="54"/>
      <c r="I54" s="54" t="s">
        <v>166</v>
      </c>
      <c r="J54" s="54" t="s">
        <v>473</v>
      </c>
    </row>
    <row r="55" spans="1:10" ht="33.75" customHeight="1">
      <c r="A55" s="53">
        <v>51</v>
      </c>
      <c r="B55" s="54" t="s">
        <v>376</v>
      </c>
      <c r="C55" s="53">
        <v>8</v>
      </c>
      <c r="D55" s="54" t="s">
        <v>452</v>
      </c>
      <c r="E55" s="54"/>
      <c r="F55" s="54" t="s">
        <v>524</v>
      </c>
      <c r="G55" s="54" t="s">
        <v>453</v>
      </c>
      <c r="H55" s="54"/>
      <c r="I55" s="54" t="s">
        <v>167</v>
      </c>
      <c r="J55" s="54" t="s">
        <v>473</v>
      </c>
    </row>
    <row r="56" spans="1:10" ht="33.75" customHeight="1">
      <c r="A56" s="53">
        <v>52</v>
      </c>
      <c r="B56" s="54" t="s">
        <v>378</v>
      </c>
      <c r="C56" s="53">
        <v>8</v>
      </c>
      <c r="D56" s="54" t="s">
        <v>454</v>
      </c>
      <c r="E56" s="54"/>
      <c r="F56" s="54" t="s">
        <v>525</v>
      </c>
      <c r="G56" s="54" t="s">
        <v>455</v>
      </c>
      <c r="H56" s="54"/>
      <c r="I56" s="54" t="s">
        <v>168</v>
      </c>
      <c r="J56" s="54" t="s">
        <v>473</v>
      </c>
    </row>
    <row r="57" spans="1:10" ht="33.75" customHeight="1">
      <c r="A57" s="53">
        <v>53</v>
      </c>
      <c r="B57" s="54" t="s">
        <v>380</v>
      </c>
      <c r="C57" s="53">
        <v>8</v>
      </c>
      <c r="D57" s="54" t="s">
        <v>163</v>
      </c>
      <c r="E57" s="54"/>
      <c r="F57" s="54" t="s">
        <v>163</v>
      </c>
      <c r="G57" s="54" t="s">
        <v>163</v>
      </c>
      <c r="H57" s="54"/>
      <c r="I57" s="54" t="s">
        <v>169</v>
      </c>
      <c r="J57" s="54" t="s">
        <v>473</v>
      </c>
    </row>
    <row r="58" spans="1:10" ht="33.75" customHeight="1">
      <c r="A58" s="53">
        <v>54</v>
      </c>
      <c r="B58" s="54" t="s">
        <v>382</v>
      </c>
      <c r="C58" s="53">
        <v>8</v>
      </c>
      <c r="D58" s="54" t="s">
        <v>456</v>
      </c>
      <c r="E58" s="54"/>
      <c r="F58" s="54" t="s">
        <v>526</v>
      </c>
      <c r="G58" s="54" t="s">
        <v>457</v>
      </c>
      <c r="H58" s="54"/>
      <c r="I58" s="54" t="s">
        <v>170</v>
      </c>
      <c r="J58" s="54" t="s">
        <v>473</v>
      </c>
    </row>
    <row r="59" spans="1:10" ht="33.75" customHeight="1">
      <c r="A59" s="53">
        <v>55</v>
      </c>
      <c r="B59" s="54" t="s">
        <v>383</v>
      </c>
      <c r="C59" s="53">
        <v>8</v>
      </c>
      <c r="D59" s="54" t="s">
        <v>458</v>
      </c>
      <c r="E59" s="54"/>
      <c r="F59" s="54" t="s">
        <v>527</v>
      </c>
      <c r="G59" s="54" t="s">
        <v>459</v>
      </c>
      <c r="H59" s="54"/>
      <c r="I59" s="54" t="s">
        <v>171</v>
      </c>
      <c r="J59" s="54" t="s">
        <v>473</v>
      </c>
    </row>
    <row r="60" spans="1:10" ht="33.75" customHeight="1">
      <c r="A60" s="53">
        <v>56</v>
      </c>
      <c r="B60" s="54" t="s">
        <v>392</v>
      </c>
      <c r="C60" s="53">
        <v>9</v>
      </c>
      <c r="D60" s="54"/>
      <c r="E60" s="54"/>
      <c r="F60" s="54"/>
      <c r="G60" s="54"/>
      <c r="H60" s="54" t="s">
        <v>460</v>
      </c>
      <c r="I60" s="54" t="s">
        <v>172</v>
      </c>
      <c r="J60" s="54" t="s">
        <v>528</v>
      </c>
    </row>
    <row r="61" spans="1:10" ht="33.75" customHeight="1">
      <c r="A61" s="53">
        <v>57</v>
      </c>
      <c r="B61" s="54" t="s">
        <v>394</v>
      </c>
      <c r="C61" s="53">
        <v>9</v>
      </c>
      <c r="D61" s="54"/>
      <c r="E61" s="54"/>
      <c r="F61" s="54"/>
      <c r="G61" s="54"/>
      <c r="H61" s="54"/>
      <c r="I61" s="54" t="s">
        <v>173</v>
      </c>
      <c r="J61" s="54" t="s">
        <v>473</v>
      </c>
    </row>
    <row r="62" spans="1:10" ht="33.75" customHeight="1">
      <c r="A62" s="53">
        <v>58</v>
      </c>
      <c r="B62" s="54" t="s">
        <v>396</v>
      </c>
      <c r="C62" s="53">
        <v>9</v>
      </c>
      <c r="D62" s="54"/>
      <c r="E62" s="54"/>
      <c r="F62" s="54"/>
      <c r="G62" s="54"/>
      <c r="H62" s="54"/>
      <c r="I62" s="54" t="s">
        <v>174</v>
      </c>
      <c r="J62" s="54" t="s">
        <v>473</v>
      </c>
    </row>
    <row r="63" spans="1:10" ht="33.75" customHeight="1">
      <c r="A63" s="53">
        <v>59</v>
      </c>
      <c r="B63" s="54" t="s">
        <v>399</v>
      </c>
      <c r="C63" s="53">
        <v>9</v>
      </c>
      <c r="D63" s="54"/>
      <c r="E63" s="54"/>
      <c r="F63" s="54"/>
      <c r="G63" s="54"/>
      <c r="H63" s="54"/>
      <c r="I63" s="54" t="s">
        <v>175</v>
      </c>
      <c r="J63" s="54" t="s">
        <v>473</v>
      </c>
    </row>
    <row r="64" spans="1:10" ht="33.75" customHeight="1">
      <c r="A64" s="53">
        <v>60</v>
      </c>
      <c r="B64" s="54" t="s">
        <v>402</v>
      </c>
      <c r="C64" s="53">
        <v>9</v>
      </c>
      <c r="D64" s="54"/>
      <c r="E64" s="54"/>
      <c r="F64" s="54"/>
      <c r="G64" s="54"/>
      <c r="H64" s="54"/>
      <c r="I64" s="54" t="s">
        <v>176</v>
      </c>
      <c r="J64" s="54" t="s">
        <v>473</v>
      </c>
    </row>
    <row r="65" spans="1:10" ht="33.75" customHeight="1">
      <c r="A65" s="53">
        <v>61</v>
      </c>
      <c r="B65" s="54" t="s">
        <v>408</v>
      </c>
      <c r="C65" s="53">
        <v>9</v>
      </c>
      <c r="D65" s="54"/>
      <c r="E65" s="54"/>
      <c r="F65" s="54"/>
      <c r="G65" s="54"/>
      <c r="H65" s="54" t="s">
        <v>463</v>
      </c>
      <c r="I65" s="54" t="s">
        <v>177</v>
      </c>
      <c r="J65" s="54" t="s">
        <v>473</v>
      </c>
    </row>
    <row r="66" spans="1:10" ht="33.75" customHeight="1">
      <c r="A66" s="53">
        <v>62</v>
      </c>
      <c r="B66" s="54" t="s">
        <v>529</v>
      </c>
      <c r="C66" s="53">
        <v>10</v>
      </c>
      <c r="D66" s="54" t="s">
        <v>172</v>
      </c>
      <c r="E66" s="54"/>
      <c r="F66" s="54" t="s">
        <v>172</v>
      </c>
      <c r="G66" s="54" t="s">
        <v>172</v>
      </c>
      <c r="H66" s="54" t="s">
        <v>460</v>
      </c>
      <c r="I66" s="54" t="s">
        <v>178</v>
      </c>
      <c r="J66" s="54" t="s">
        <v>473</v>
      </c>
    </row>
    <row r="67" spans="1:10" ht="33.75" customHeight="1">
      <c r="A67" s="53">
        <v>63</v>
      </c>
      <c r="B67" s="54" t="s">
        <v>530</v>
      </c>
      <c r="C67" s="53">
        <v>10</v>
      </c>
      <c r="D67" s="54"/>
      <c r="E67" s="54"/>
      <c r="F67" s="54"/>
      <c r="G67" s="54"/>
      <c r="H67" s="54" t="s">
        <v>460</v>
      </c>
      <c r="I67" s="54" t="s">
        <v>179</v>
      </c>
      <c r="J67" s="54" t="s">
        <v>473</v>
      </c>
    </row>
    <row r="68" spans="1:10" ht="33.75" customHeight="1">
      <c r="A68" s="53">
        <v>64</v>
      </c>
      <c r="B68" s="54" t="s">
        <v>309</v>
      </c>
      <c r="C68" s="53">
        <v>4</v>
      </c>
      <c r="D68" s="54"/>
      <c r="E68" s="54"/>
      <c r="F68" s="54"/>
      <c r="G68" s="54"/>
      <c r="H68" s="54"/>
      <c r="I68" s="54" t="s">
        <v>180</v>
      </c>
      <c r="J68" s="54" t="s">
        <v>473</v>
      </c>
    </row>
    <row r="69" spans="1:10" ht="33.75" customHeight="1">
      <c r="A69" s="53">
        <v>65</v>
      </c>
      <c r="B69" s="54" t="s">
        <v>332</v>
      </c>
      <c r="C69" s="53">
        <v>5</v>
      </c>
      <c r="D69" s="54"/>
      <c r="E69" s="54"/>
      <c r="F69" s="54"/>
      <c r="G69" s="54"/>
      <c r="H69" s="54"/>
      <c r="I69" s="54" t="s">
        <v>181</v>
      </c>
      <c r="J69" s="54" t="s">
        <v>473</v>
      </c>
    </row>
    <row r="70" spans="1:10" ht="33.75" customHeight="1">
      <c r="A70" s="53">
        <v>66</v>
      </c>
      <c r="B70" s="54" t="s">
        <v>351</v>
      </c>
      <c r="C70" s="53">
        <v>6</v>
      </c>
      <c r="D70" s="54"/>
      <c r="E70" s="54"/>
      <c r="F70" s="54"/>
      <c r="G70" s="54"/>
      <c r="H70" s="54"/>
      <c r="I70" s="54" t="s">
        <v>182</v>
      </c>
      <c r="J70" s="54" t="s">
        <v>473</v>
      </c>
    </row>
    <row r="71" spans="1:10" ht="33.75" customHeight="1">
      <c r="A71" s="53">
        <v>67</v>
      </c>
      <c r="B71" s="54" t="s">
        <v>369</v>
      </c>
      <c r="C71" s="53">
        <v>7</v>
      </c>
      <c r="D71" s="54"/>
      <c r="E71" s="54"/>
      <c r="F71" s="54"/>
      <c r="G71" s="54"/>
      <c r="H71" s="54"/>
      <c r="I71" s="54" t="s">
        <v>183</v>
      </c>
      <c r="J71" s="54" t="s">
        <v>473</v>
      </c>
    </row>
    <row r="72" spans="1:10" ht="33.75" customHeight="1">
      <c r="A72" s="53">
        <v>68</v>
      </c>
      <c r="B72" s="54" t="s">
        <v>385</v>
      </c>
      <c r="C72" s="53">
        <v>8</v>
      </c>
      <c r="D72" s="54"/>
      <c r="E72" s="54"/>
      <c r="F72" s="54"/>
      <c r="G72" s="54"/>
      <c r="H72" s="54"/>
      <c r="I72" s="54" t="s">
        <v>184</v>
      </c>
      <c r="J72" s="54" t="s">
        <v>473</v>
      </c>
    </row>
    <row r="73" spans="1:10" ht="33.75" customHeight="1">
      <c r="A73" s="55">
        <v>69</v>
      </c>
      <c r="B73" s="56" t="s">
        <v>403</v>
      </c>
      <c r="C73" s="55">
        <v>9</v>
      </c>
      <c r="D73" s="56" t="s">
        <v>461</v>
      </c>
      <c r="E73" s="56"/>
      <c r="F73" s="56" t="s">
        <v>531</v>
      </c>
      <c r="G73" s="56" t="s">
        <v>462</v>
      </c>
      <c r="H73" s="56"/>
      <c r="I73" s="56" t="s">
        <v>185</v>
      </c>
      <c r="J73" s="56" t="s">
        <v>473</v>
      </c>
    </row>
    <row r="74" spans="1:10" ht="14.25" customHeight="1"/>
    <row r="75" spans="1:10" ht="14.25" customHeight="1"/>
    <row r="76" spans="1:10" ht="14.25" customHeight="1"/>
    <row r="77" spans="1:10" ht="14.25" customHeight="1"/>
    <row r="78" spans="1:10" ht="14.25" customHeight="1"/>
    <row r="79" spans="1:10" ht="14.25" customHeight="1"/>
    <row r="80" spans="1:1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A1:J1"/>
    <mergeCell ref="A2:J2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35"/>
  <sheetViews>
    <sheetView showGridLines="0" workbookViewId="0"/>
  </sheetViews>
  <sheetFormatPr defaultColWidth="14.42578125" defaultRowHeight="15"/>
  <cols>
    <col min="1" max="1" width="8" customWidth="1"/>
    <col min="2" max="2" width="9" customWidth="1"/>
    <col min="3" max="3" width="12" customWidth="1"/>
    <col min="4" max="4" width="44" customWidth="1"/>
    <col min="5" max="6" width="18" customWidth="1"/>
    <col min="7" max="7" width="14" customWidth="1"/>
    <col min="8" max="8" width="18" customWidth="1"/>
    <col min="9" max="9" width="54" customWidth="1"/>
    <col min="10" max="10" width="12" customWidth="1"/>
  </cols>
  <sheetData>
    <row r="1" spans="1:10" ht="14.25" customHeight="1">
      <c r="A1" s="188" t="s">
        <v>532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14.25" customHeight="1">
      <c r="A2" s="70"/>
      <c r="B2" s="71"/>
      <c r="C2" s="71"/>
      <c r="D2" s="71"/>
      <c r="E2" s="71"/>
      <c r="F2" s="71"/>
      <c r="G2" s="71"/>
      <c r="H2" s="71"/>
      <c r="I2" s="71"/>
      <c r="J2" s="71"/>
    </row>
    <row r="3" spans="1:10" ht="14.25" customHeight="1">
      <c r="A3" s="187" t="s">
        <v>533</v>
      </c>
      <c r="B3" s="161"/>
      <c r="C3" s="161"/>
      <c r="D3" s="161"/>
      <c r="E3" s="161"/>
      <c r="F3" s="161"/>
      <c r="G3" s="161"/>
      <c r="H3" s="161"/>
      <c r="I3" s="161"/>
      <c r="J3" s="161"/>
    </row>
    <row r="4" spans="1:10" ht="14.25" customHeight="1"/>
    <row r="5" spans="1:10" ht="14.25" customHeight="1">
      <c r="A5" s="57" t="s">
        <v>204</v>
      </c>
      <c r="B5" s="57" t="s">
        <v>467</v>
      </c>
      <c r="C5" s="57" t="s">
        <v>205</v>
      </c>
      <c r="D5" s="57" t="s">
        <v>187</v>
      </c>
      <c r="E5" s="57" t="s">
        <v>206</v>
      </c>
      <c r="F5" s="57" t="s">
        <v>207</v>
      </c>
      <c r="G5" s="57" t="s">
        <v>534</v>
      </c>
      <c r="H5" s="57" t="s">
        <v>197</v>
      </c>
      <c r="I5" s="57" t="s">
        <v>535</v>
      </c>
      <c r="J5" s="57" t="s">
        <v>536</v>
      </c>
    </row>
    <row r="6" spans="1:10" ht="14.25" customHeight="1">
      <c r="A6" s="58">
        <v>4</v>
      </c>
      <c r="B6" s="58">
        <v>1</v>
      </c>
      <c r="C6" s="58" t="s">
        <v>209</v>
      </c>
      <c r="D6" s="58" t="s">
        <v>226</v>
      </c>
      <c r="E6" s="58" t="s">
        <v>227</v>
      </c>
      <c r="F6" s="58" t="s">
        <v>216</v>
      </c>
      <c r="G6" s="58" t="s">
        <v>198</v>
      </c>
      <c r="H6" s="58" t="s">
        <v>208</v>
      </c>
      <c r="I6" s="58" t="s">
        <v>537</v>
      </c>
      <c r="J6" s="58" t="b">
        <f>COUNTIFS('3 Horários e seleção'!$H$6:$H$170,"☑",'3 Horários e seleção'!$J$6:$J$170,C6)&gt;0</f>
        <v>0</v>
      </c>
    </row>
    <row r="7" spans="1:10" ht="14.25" customHeight="1">
      <c r="A7" s="58">
        <v>4</v>
      </c>
      <c r="B7" s="58">
        <v>1</v>
      </c>
      <c r="C7" s="58" t="s">
        <v>209</v>
      </c>
      <c r="D7" s="58" t="s">
        <v>226</v>
      </c>
      <c r="E7" s="58" t="s">
        <v>227</v>
      </c>
      <c r="F7" s="58" t="s">
        <v>216</v>
      </c>
      <c r="G7" s="58" t="s">
        <v>198</v>
      </c>
      <c r="H7" s="58" t="s">
        <v>217</v>
      </c>
      <c r="I7" s="58" t="s">
        <v>537</v>
      </c>
      <c r="J7" s="58" t="b">
        <f>COUNTIFS('3 Horários e seleção'!$H$6:$H$170,"☑",'3 Horários e seleção'!$J$6:$J$170,C7)&gt;0</f>
        <v>0</v>
      </c>
    </row>
    <row r="8" spans="1:10" ht="14.25" customHeight="1">
      <c r="A8" s="58">
        <v>5</v>
      </c>
      <c r="B8" s="58">
        <v>1</v>
      </c>
      <c r="C8" s="58" t="s">
        <v>210</v>
      </c>
      <c r="D8" s="58" t="s">
        <v>230</v>
      </c>
      <c r="E8" s="58" t="s">
        <v>231</v>
      </c>
      <c r="F8" s="58" t="s">
        <v>216</v>
      </c>
      <c r="G8" s="58" t="s">
        <v>198</v>
      </c>
      <c r="H8" s="58" t="s">
        <v>220</v>
      </c>
      <c r="I8" s="58" t="s">
        <v>538</v>
      </c>
      <c r="J8" s="58" t="b">
        <f>COUNTIFS('3 Horários e seleção'!$H$6:$H$170,"☑",'3 Horários e seleção'!$J$6:$J$170,C8)&gt;0</f>
        <v>0</v>
      </c>
    </row>
    <row r="9" spans="1:10" ht="14.25" customHeight="1">
      <c r="A9" s="58">
        <v>5</v>
      </c>
      <c r="B9" s="58">
        <v>1</v>
      </c>
      <c r="C9" s="58" t="s">
        <v>210</v>
      </c>
      <c r="D9" s="58" t="s">
        <v>230</v>
      </c>
      <c r="E9" s="58" t="s">
        <v>231</v>
      </c>
      <c r="F9" s="58" t="s">
        <v>216</v>
      </c>
      <c r="G9" s="58" t="s">
        <v>198</v>
      </c>
      <c r="H9" s="58" t="s">
        <v>225</v>
      </c>
      <c r="I9" s="58" t="s">
        <v>538</v>
      </c>
      <c r="J9" s="58" t="b">
        <f>COUNTIFS('3 Horários e seleção'!$H$6:$H$170,"☑",'3 Horários e seleção'!$J$6:$J$170,C9)&gt;0</f>
        <v>0</v>
      </c>
    </row>
    <row r="10" spans="1:10" ht="14.25" customHeight="1">
      <c r="A10" s="58">
        <v>6</v>
      </c>
      <c r="B10" s="58">
        <v>1</v>
      </c>
      <c r="C10" s="58" t="s">
        <v>229</v>
      </c>
      <c r="D10" s="58" t="s">
        <v>233</v>
      </c>
      <c r="E10" s="58" t="s">
        <v>234</v>
      </c>
      <c r="F10" s="58" t="s">
        <v>235</v>
      </c>
      <c r="G10" s="58" t="s">
        <v>198</v>
      </c>
      <c r="H10" s="58" t="s">
        <v>228</v>
      </c>
      <c r="I10" s="58" t="s">
        <v>539</v>
      </c>
      <c r="J10" s="58" t="b">
        <f>COUNTIFS('3 Horários e seleção'!$H$6:$H$170,"☑",'3 Horários e seleção'!$J$6:$J$170,C10)&gt;0</f>
        <v>0</v>
      </c>
    </row>
    <row r="11" spans="1:10" ht="14.25" customHeight="1">
      <c r="A11" s="58">
        <v>6</v>
      </c>
      <c r="B11" s="58">
        <v>1</v>
      </c>
      <c r="C11" s="58" t="s">
        <v>229</v>
      </c>
      <c r="D11" s="58" t="s">
        <v>233</v>
      </c>
      <c r="E11" s="58" t="s">
        <v>234</v>
      </c>
      <c r="F11" s="58" t="s">
        <v>235</v>
      </c>
      <c r="G11" s="58" t="s">
        <v>198</v>
      </c>
      <c r="H11" s="58" t="s">
        <v>232</v>
      </c>
      <c r="I11" s="58" t="s">
        <v>539</v>
      </c>
      <c r="J11" s="58" t="b">
        <f>COUNTIFS('3 Horários e seleção'!$H$6:$H$170,"☑",'3 Horários e seleção'!$J$6:$J$170,C11)&gt;0</f>
        <v>0</v>
      </c>
    </row>
    <row r="12" spans="1:10" ht="14.25" customHeight="1">
      <c r="A12" s="58">
        <v>5</v>
      </c>
      <c r="B12" s="58">
        <v>1</v>
      </c>
      <c r="C12" s="58" t="s">
        <v>210</v>
      </c>
      <c r="D12" s="58" t="s">
        <v>230</v>
      </c>
      <c r="E12" s="58" t="s">
        <v>231</v>
      </c>
      <c r="F12" s="58" t="s">
        <v>216</v>
      </c>
      <c r="G12" s="58" t="s">
        <v>199</v>
      </c>
      <c r="H12" s="58" t="s">
        <v>208</v>
      </c>
      <c r="I12" s="58" t="s">
        <v>538</v>
      </c>
      <c r="J12" s="58" t="b">
        <f>COUNTIFS('3 Horários e seleção'!$H$6:$H$170,"☑",'3 Horários e seleção'!$J$6:$J$170,C12)&gt;0</f>
        <v>0</v>
      </c>
    </row>
    <row r="13" spans="1:10" ht="14.25" customHeight="1">
      <c r="A13" s="58">
        <v>5</v>
      </c>
      <c r="B13" s="58">
        <v>1</v>
      </c>
      <c r="C13" s="58" t="s">
        <v>210</v>
      </c>
      <c r="D13" s="58" t="s">
        <v>230</v>
      </c>
      <c r="E13" s="58" t="s">
        <v>231</v>
      </c>
      <c r="F13" s="58" t="s">
        <v>216</v>
      </c>
      <c r="G13" s="58" t="s">
        <v>199</v>
      </c>
      <c r="H13" s="58" t="s">
        <v>217</v>
      </c>
      <c r="I13" s="58" t="s">
        <v>538</v>
      </c>
      <c r="J13" s="58" t="b">
        <f>COUNTIFS('3 Horários e seleção'!$H$6:$H$170,"☑",'3 Horários e seleção'!$J$6:$J$170,C13)&gt;0</f>
        <v>0</v>
      </c>
    </row>
    <row r="14" spans="1:10" ht="14.25" customHeight="1">
      <c r="A14" s="58">
        <v>4</v>
      </c>
      <c r="B14" s="58">
        <v>1</v>
      </c>
      <c r="C14" s="58" t="s">
        <v>209</v>
      </c>
      <c r="D14" s="58" t="s">
        <v>226</v>
      </c>
      <c r="E14" s="58" t="s">
        <v>227</v>
      </c>
      <c r="F14" s="58" t="s">
        <v>216</v>
      </c>
      <c r="G14" s="58" t="s">
        <v>199</v>
      </c>
      <c r="H14" s="58" t="s">
        <v>220</v>
      </c>
      <c r="I14" s="58" t="s">
        <v>537</v>
      </c>
      <c r="J14" s="58" t="b">
        <f>COUNTIFS('3 Horários e seleção'!$H$6:$H$170,"☑",'3 Horários e seleção'!$J$6:$J$170,C14)&gt;0</f>
        <v>0</v>
      </c>
    </row>
    <row r="15" spans="1:10" ht="14.25" customHeight="1">
      <c r="A15" s="58">
        <v>4</v>
      </c>
      <c r="B15" s="58">
        <v>1</v>
      </c>
      <c r="C15" s="58" t="s">
        <v>209</v>
      </c>
      <c r="D15" s="58" t="s">
        <v>226</v>
      </c>
      <c r="E15" s="58" t="s">
        <v>227</v>
      </c>
      <c r="F15" s="58" t="s">
        <v>216</v>
      </c>
      <c r="G15" s="58" t="s">
        <v>199</v>
      </c>
      <c r="H15" s="58" t="s">
        <v>225</v>
      </c>
      <c r="I15" s="58" t="s">
        <v>537</v>
      </c>
      <c r="J15" s="58" t="b">
        <f>COUNTIFS('3 Horários e seleção'!$H$6:$H$170,"☑",'3 Horários e seleção'!$J$6:$J$170,C15)&gt;0</f>
        <v>0</v>
      </c>
    </row>
    <row r="16" spans="1:10" ht="14.25" customHeight="1">
      <c r="A16" s="58">
        <v>6</v>
      </c>
      <c r="B16" s="58">
        <v>1</v>
      </c>
      <c r="C16" s="58" t="s">
        <v>229</v>
      </c>
      <c r="D16" s="58" t="s">
        <v>233</v>
      </c>
      <c r="E16" s="58" t="s">
        <v>234</v>
      </c>
      <c r="F16" s="58" t="s">
        <v>235</v>
      </c>
      <c r="G16" s="58" t="s">
        <v>199</v>
      </c>
      <c r="H16" s="58" t="s">
        <v>228</v>
      </c>
      <c r="I16" s="58" t="s">
        <v>539</v>
      </c>
      <c r="J16" s="58" t="b">
        <f>COUNTIFS('3 Horários e seleção'!$H$6:$H$170,"☑",'3 Horários e seleção'!$J$6:$J$170,C16)&gt;0</f>
        <v>0</v>
      </c>
    </row>
    <row r="17" spans="1:10" ht="14.25" customHeight="1">
      <c r="A17" s="58">
        <v>6</v>
      </c>
      <c r="B17" s="58">
        <v>1</v>
      </c>
      <c r="C17" s="58" t="s">
        <v>229</v>
      </c>
      <c r="D17" s="58" t="s">
        <v>233</v>
      </c>
      <c r="E17" s="58" t="s">
        <v>234</v>
      </c>
      <c r="F17" s="58" t="s">
        <v>235</v>
      </c>
      <c r="G17" s="58" t="s">
        <v>199</v>
      </c>
      <c r="H17" s="58" t="s">
        <v>232</v>
      </c>
      <c r="I17" s="58" t="s">
        <v>539</v>
      </c>
      <c r="J17" s="58" t="b">
        <f>COUNTIFS('3 Horários e seleção'!$H$6:$H$170,"☑",'3 Horários e seleção'!$J$6:$J$170,C17)&gt;0</f>
        <v>0</v>
      </c>
    </row>
    <row r="18" spans="1:10" ht="14.25" customHeight="1">
      <c r="A18" s="58">
        <v>4</v>
      </c>
      <c r="B18" s="58">
        <v>1</v>
      </c>
      <c r="C18" s="58" t="s">
        <v>209</v>
      </c>
      <c r="D18" s="58" t="s">
        <v>226</v>
      </c>
      <c r="E18" s="58" t="s">
        <v>227</v>
      </c>
      <c r="F18" s="58" t="s">
        <v>216</v>
      </c>
      <c r="G18" s="58" t="s">
        <v>200</v>
      </c>
      <c r="H18" s="58" t="s">
        <v>208</v>
      </c>
      <c r="I18" s="58" t="s">
        <v>537</v>
      </c>
      <c r="J18" s="58" t="b">
        <f>COUNTIFS('3 Horários e seleção'!$H$6:$H$170,"☑",'3 Horários e seleção'!$J$6:$J$170,C18)&gt;0</f>
        <v>0</v>
      </c>
    </row>
    <row r="19" spans="1:10" ht="14.25" customHeight="1">
      <c r="A19" s="58">
        <v>4</v>
      </c>
      <c r="B19" s="58">
        <v>1</v>
      </c>
      <c r="C19" s="58" t="s">
        <v>209</v>
      </c>
      <c r="D19" s="58" t="s">
        <v>226</v>
      </c>
      <c r="E19" s="58" t="s">
        <v>227</v>
      </c>
      <c r="F19" s="58" t="s">
        <v>216</v>
      </c>
      <c r="G19" s="58" t="s">
        <v>200</v>
      </c>
      <c r="H19" s="58" t="s">
        <v>217</v>
      </c>
      <c r="I19" s="58" t="s">
        <v>537</v>
      </c>
      <c r="J19" s="58" t="b">
        <f>COUNTIFS('3 Horários e seleção'!$H$6:$H$170,"☑",'3 Horários e seleção'!$J$6:$J$170,C19)&gt;0</f>
        <v>0</v>
      </c>
    </row>
    <row r="20" spans="1:10" ht="14.25" customHeight="1">
      <c r="A20" s="58">
        <v>5</v>
      </c>
      <c r="B20" s="58">
        <v>1</v>
      </c>
      <c r="C20" s="58" t="s">
        <v>210</v>
      </c>
      <c r="D20" s="58" t="s">
        <v>230</v>
      </c>
      <c r="E20" s="58" t="s">
        <v>231</v>
      </c>
      <c r="F20" s="58" t="s">
        <v>216</v>
      </c>
      <c r="G20" s="58" t="s">
        <v>200</v>
      </c>
      <c r="H20" s="58" t="s">
        <v>220</v>
      </c>
      <c r="I20" s="58" t="s">
        <v>538</v>
      </c>
      <c r="J20" s="58" t="b">
        <f>COUNTIFS('3 Horários e seleção'!$H$6:$H$170,"☑",'3 Horários e seleção'!$J$6:$J$170,C20)&gt;0</f>
        <v>0</v>
      </c>
    </row>
    <row r="21" spans="1:10" ht="14.25" customHeight="1">
      <c r="A21" s="58">
        <v>5</v>
      </c>
      <c r="B21" s="58">
        <v>1</v>
      </c>
      <c r="C21" s="58" t="s">
        <v>210</v>
      </c>
      <c r="D21" s="58" t="s">
        <v>230</v>
      </c>
      <c r="E21" s="58" t="s">
        <v>231</v>
      </c>
      <c r="F21" s="58" t="s">
        <v>216</v>
      </c>
      <c r="G21" s="58" t="s">
        <v>200</v>
      </c>
      <c r="H21" s="58" t="s">
        <v>225</v>
      </c>
      <c r="I21" s="58" t="s">
        <v>538</v>
      </c>
      <c r="J21" s="58" t="b">
        <f>COUNTIFS('3 Horários e seleção'!$H$6:$H$170,"☑",'3 Horários e seleção'!$J$6:$J$170,C21)&gt;0</f>
        <v>0</v>
      </c>
    </row>
    <row r="22" spans="1:10" ht="14.25" customHeight="1">
      <c r="A22" s="58">
        <v>1</v>
      </c>
      <c r="B22" s="58">
        <v>1</v>
      </c>
      <c r="C22" s="58" t="s">
        <v>213</v>
      </c>
      <c r="D22" s="58" t="s">
        <v>214</v>
      </c>
      <c r="E22" s="58" t="s">
        <v>215</v>
      </c>
      <c r="F22" s="58" t="s">
        <v>216</v>
      </c>
      <c r="G22" s="58" t="s">
        <v>200</v>
      </c>
      <c r="H22" s="58" t="s">
        <v>228</v>
      </c>
      <c r="I22" s="58" t="s">
        <v>540</v>
      </c>
      <c r="J22" s="58" t="b">
        <f>COUNTIFS('3 Horários e seleção'!$H$6:$H$170,"☑",'3 Horários e seleção'!$J$6:$J$170,C22)&gt;0</f>
        <v>0</v>
      </c>
    </row>
    <row r="23" spans="1:10" ht="14.25" customHeight="1">
      <c r="A23" s="58">
        <v>1</v>
      </c>
      <c r="B23" s="58">
        <v>1</v>
      </c>
      <c r="C23" s="58" t="s">
        <v>213</v>
      </c>
      <c r="D23" s="58" t="s">
        <v>214</v>
      </c>
      <c r="E23" s="58" t="s">
        <v>215</v>
      </c>
      <c r="F23" s="58" t="s">
        <v>216</v>
      </c>
      <c r="G23" s="58" t="s">
        <v>200</v>
      </c>
      <c r="H23" s="58" t="s">
        <v>232</v>
      </c>
      <c r="I23" s="58" t="s">
        <v>540</v>
      </c>
      <c r="J23" s="58" t="b">
        <f>COUNTIFS('3 Horários e seleção'!$H$6:$H$170,"☑",'3 Horários e seleção'!$J$6:$J$170,C23)&gt;0</f>
        <v>0</v>
      </c>
    </row>
    <row r="24" spans="1:10" ht="14.25" customHeight="1">
      <c r="A24" s="58">
        <v>2</v>
      </c>
      <c r="B24" s="58">
        <v>1</v>
      </c>
      <c r="C24" s="58" t="s">
        <v>211</v>
      </c>
      <c r="D24" s="58" t="s">
        <v>218</v>
      </c>
      <c r="E24" s="58" t="s">
        <v>219</v>
      </c>
      <c r="F24" s="58" t="s">
        <v>216</v>
      </c>
      <c r="G24" s="58" t="s">
        <v>201</v>
      </c>
      <c r="H24" s="58" t="s">
        <v>228</v>
      </c>
      <c r="I24" s="58" t="s">
        <v>541</v>
      </c>
      <c r="J24" s="58" t="b">
        <f>COUNTIFS('3 Horários e seleção'!$H$6:$H$170,"☑",'3 Horários e seleção'!$J$6:$J$170,C24)&gt;0</f>
        <v>0</v>
      </c>
    </row>
    <row r="25" spans="1:10" ht="14.25" customHeight="1">
      <c r="A25" s="58">
        <v>2</v>
      </c>
      <c r="B25" s="58">
        <v>1</v>
      </c>
      <c r="C25" s="58" t="s">
        <v>211</v>
      </c>
      <c r="D25" s="58" t="s">
        <v>218</v>
      </c>
      <c r="E25" s="58" t="s">
        <v>219</v>
      </c>
      <c r="F25" s="58" t="s">
        <v>216</v>
      </c>
      <c r="G25" s="58" t="s">
        <v>201</v>
      </c>
      <c r="H25" s="58" t="s">
        <v>232</v>
      </c>
      <c r="I25" s="58" t="s">
        <v>541</v>
      </c>
      <c r="J25" s="58" t="b">
        <f>COUNTIFS('3 Horários e seleção'!$H$6:$H$170,"☑",'3 Horários e seleção'!$J$6:$J$170,C25)&gt;0</f>
        <v>0</v>
      </c>
    </row>
    <row r="26" spans="1:10" ht="14.25" customHeight="1">
      <c r="A26" s="58">
        <v>2</v>
      </c>
      <c r="B26" s="58">
        <v>1</v>
      </c>
      <c r="C26" s="58" t="s">
        <v>211</v>
      </c>
      <c r="D26" s="58" t="s">
        <v>218</v>
      </c>
      <c r="E26" s="58" t="s">
        <v>219</v>
      </c>
      <c r="F26" s="58" t="s">
        <v>216</v>
      </c>
      <c r="G26" s="58" t="s">
        <v>202</v>
      </c>
      <c r="H26" s="58" t="s">
        <v>208</v>
      </c>
      <c r="I26" s="58" t="s">
        <v>541</v>
      </c>
      <c r="J26" s="58" t="b">
        <f>COUNTIFS('3 Horários e seleção'!$H$6:$H$170,"☑",'3 Horários e seleção'!$J$6:$J$170,C26)&gt;0</f>
        <v>0</v>
      </c>
    </row>
    <row r="27" spans="1:10" ht="14.25" customHeight="1">
      <c r="A27" s="58">
        <v>2</v>
      </c>
      <c r="B27" s="58">
        <v>1</v>
      </c>
      <c r="C27" s="58" t="s">
        <v>211</v>
      </c>
      <c r="D27" s="58" t="s">
        <v>218</v>
      </c>
      <c r="E27" s="58" t="s">
        <v>219</v>
      </c>
      <c r="F27" s="58" t="s">
        <v>216</v>
      </c>
      <c r="G27" s="58" t="s">
        <v>202</v>
      </c>
      <c r="H27" s="58" t="s">
        <v>217</v>
      </c>
      <c r="I27" s="58" t="s">
        <v>541</v>
      </c>
      <c r="J27" s="58" t="b">
        <f>COUNTIFS('3 Horários e seleção'!$H$6:$H$170,"☑",'3 Horários e seleção'!$J$6:$J$170,C27)&gt;0</f>
        <v>0</v>
      </c>
    </row>
    <row r="28" spans="1:10" ht="14.25" customHeight="1">
      <c r="A28" s="58">
        <v>3</v>
      </c>
      <c r="B28" s="58">
        <v>1</v>
      </c>
      <c r="C28" s="58" t="s">
        <v>221</v>
      </c>
      <c r="D28" s="58" t="s">
        <v>222</v>
      </c>
      <c r="E28" s="58" t="s">
        <v>223</v>
      </c>
      <c r="F28" s="58" t="s">
        <v>224</v>
      </c>
      <c r="G28" s="58" t="s">
        <v>202</v>
      </c>
      <c r="H28" s="58" t="s">
        <v>225</v>
      </c>
      <c r="I28" s="58" t="s">
        <v>542</v>
      </c>
      <c r="J28" s="58" t="b">
        <f>COUNTIFS('3 Horários e seleção'!$H$6:$H$170,"☑",'3 Horários e seleção'!$J$6:$J$170,C28)&gt;0</f>
        <v>0</v>
      </c>
    </row>
    <row r="29" spans="1:10" ht="14.25" customHeight="1">
      <c r="A29" s="58">
        <v>3</v>
      </c>
      <c r="B29" s="58">
        <v>1</v>
      </c>
      <c r="C29" s="58" t="s">
        <v>221</v>
      </c>
      <c r="D29" s="58" t="s">
        <v>222</v>
      </c>
      <c r="E29" s="58" t="s">
        <v>223</v>
      </c>
      <c r="F29" s="58" t="s">
        <v>224</v>
      </c>
      <c r="G29" s="58" t="s">
        <v>202</v>
      </c>
      <c r="H29" s="58" t="s">
        <v>228</v>
      </c>
      <c r="I29" s="58" t="s">
        <v>542</v>
      </c>
      <c r="J29" s="58" t="b">
        <f>COUNTIFS('3 Horários e seleção'!$H$6:$H$170,"☑",'3 Horários e seleção'!$J$6:$J$170,C29)&gt;0</f>
        <v>0</v>
      </c>
    </row>
    <row r="30" spans="1:10" ht="14.25" customHeight="1">
      <c r="A30" s="58">
        <v>3</v>
      </c>
      <c r="B30" s="58">
        <v>1</v>
      </c>
      <c r="C30" s="58" t="s">
        <v>221</v>
      </c>
      <c r="D30" s="58" t="s">
        <v>222</v>
      </c>
      <c r="E30" s="58" t="s">
        <v>223</v>
      </c>
      <c r="F30" s="58" t="s">
        <v>224</v>
      </c>
      <c r="G30" s="58" t="s">
        <v>202</v>
      </c>
      <c r="H30" s="58" t="s">
        <v>232</v>
      </c>
      <c r="I30" s="58" t="s">
        <v>542</v>
      </c>
      <c r="J30" s="58" t="b">
        <f>COUNTIFS('3 Horários e seleção'!$H$6:$H$170,"☑",'3 Horários e seleção'!$J$6:$J$170,C30)&gt;0</f>
        <v>0</v>
      </c>
    </row>
    <row r="31" spans="1:10" ht="14.25" customHeight="1">
      <c r="A31" s="58">
        <v>10</v>
      </c>
      <c r="B31" s="58">
        <v>2</v>
      </c>
      <c r="C31" s="58" t="s">
        <v>252</v>
      </c>
      <c r="D31" s="58" t="s">
        <v>257</v>
      </c>
      <c r="E31" s="58" t="s">
        <v>256</v>
      </c>
      <c r="F31" s="58" t="s">
        <v>258</v>
      </c>
      <c r="G31" s="58" t="s">
        <v>198</v>
      </c>
      <c r="H31" s="58" t="s">
        <v>220</v>
      </c>
      <c r="I31" s="58" t="s">
        <v>543</v>
      </c>
      <c r="J31" s="58" t="b">
        <f>COUNTIFS('3 Horários e seleção'!$H$6:$H$170,"☑",'3 Horários e seleção'!$J$6:$J$170,C31)&gt;0</f>
        <v>0</v>
      </c>
    </row>
    <row r="32" spans="1:10" ht="14.25" customHeight="1">
      <c r="A32" s="58">
        <v>10</v>
      </c>
      <c r="B32" s="58">
        <v>2</v>
      </c>
      <c r="C32" s="58" t="s">
        <v>252</v>
      </c>
      <c r="D32" s="58" t="s">
        <v>257</v>
      </c>
      <c r="E32" s="58" t="s">
        <v>256</v>
      </c>
      <c r="F32" s="58" t="s">
        <v>258</v>
      </c>
      <c r="G32" s="58" t="s">
        <v>198</v>
      </c>
      <c r="H32" s="58" t="s">
        <v>225</v>
      </c>
      <c r="I32" s="58" t="s">
        <v>543</v>
      </c>
      <c r="J32" s="58" t="b">
        <f>COUNTIFS('3 Horários e seleção'!$H$6:$H$170,"☑",'3 Horários e seleção'!$J$6:$J$170,C32)&gt;0</f>
        <v>0</v>
      </c>
    </row>
    <row r="33" spans="1:10" ht="14.25" customHeight="1">
      <c r="A33" s="58">
        <v>8</v>
      </c>
      <c r="B33" s="58">
        <v>2</v>
      </c>
      <c r="C33" s="58" t="s">
        <v>249</v>
      </c>
      <c r="D33" s="58" t="s">
        <v>250</v>
      </c>
      <c r="E33" s="58" t="s">
        <v>246</v>
      </c>
      <c r="F33" s="58" t="s">
        <v>251</v>
      </c>
      <c r="G33" s="58" t="s">
        <v>198</v>
      </c>
      <c r="H33" s="58" t="s">
        <v>228</v>
      </c>
      <c r="I33" s="58" t="s">
        <v>544</v>
      </c>
      <c r="J33" s="58" t="b">
        <f>COUNTIFS('3 Horários e seleção'!$H$6:$H$170,"☑",'3 Horários e seleção'!$J$6:$J$170,C33)&gt;0</f>
        <v>0</v>
      </c>
    </row>
    <row r="34" spans="1:10" ht="14.25" customHeight="1">
      <c r="A34" s="58">
        <v>8</v>
      </c>
      <c r="B34" s="58">
        <v>2</v>
      </c>
      <c r="C34" s="58" t="s">
        <v>249</v>
      </c>
      <c r="D34" s="58" t="s">
        <v>250</v>
      </c>
      <c r="E34" s="58" t="s">
        <v>246</v>
      </c>
      <c r="F34" s="58" t="s">
        <v>251</v>
      </c>
      <c r="G34" s="58" t="s">
        <v>198</v>
      </c>
      <c r="H34" s="58" t="s">
        <v>232</v>
      </c>
      <c r="I34" s="58" t="s">
        <v>544</v>
      </c>
      <c r="J34" s="58" t="b">
        <f>COUNTIFS('3 Horários e seleção'!$H$6:$H$170,"☑",'3 Horários e seleção'!$J$6:$J$170,C34)&gt;0</f>
        <v>0</v>
      </c>
    </row>
    <row r="35" spans="1:10" ht="14.25" customHeight="1">
      <c r="A35" s="58">
        <v>11</v>
      </c>
      <c r="B35" s="58">
        <v>2</v>
      </c>
      <c r="C35" s="58" t="s">
        <v>243</v>
      </c>
      <c r="D35" s="58" t="s">
        <v>259</v>
      </c>
      <c r="E35" s="58" t="s">
        <v>260</v>
      </c>
      <c r="F35" s="58" t="s">
        <v>247</v>
      </c>
      <c r="G35" s="58" t="s">
        <v>199</v>
      </c>
      <c r="H35" s="58" t="s">
        <v>208</v>
      </c>
      <c r="I35" s="58" t="s">
        <v>545</v>
      </c>
      <c r="J35" s="58" t="b">
        <f>COUNTIFS('3 Horários e seleção'!$H$6:$H$170,"☑",'3 Horários e seleção'!$J$6:$J$170,C35)&gt;0</f>
        <v>0</v>
      </c>
    </row>
    <row r="36" spans="1:10" ht="14.25" customHeight="1">
      <c r="A36" s="58">
        <v>11</v>
      </c>
      <c r="B36" s="58">
        <v>2</v>
      </c>
      <c r="C36" s="58" t="s">
        <v>243</v>
      </c>
      <c r="D36" s="58" t="s">
        <v>259</v>
      </c>
      <c r="E36" s="58" t="s">
        <v>260</v>
      </c>
      <c r="F36" s="58" t="s">
        <v>247</v>
      </c>
      <c r="G36" s="58" t="s">
        <v>199</v>
      </c>
      <c r="H36" s="58" t="s">
        <v>217</v>
      </c>
      <c r="I36" s="58" t="s">
        <v>545</v>
      </c>
      <c r="J36" s="58" t="b">
        <f>COUNTIFS('3 Horários e seleção'!$H$6:$H$170,"☑",'3 Horários e seleção'!$J$6:$J$170,C36)&gt;0</f>
        <v>0</v>
      </c>
    </row>
    <row r="37" spans="1:10" ht="14.25" customHeight="1">
      <c r="A37" s="58">
        <v>9</v>
      </c>
      <c r="B37" s="58">
        <v>2</v>
      </c>
      <c r="C37" s="58" t="s">
        <v>253</v>
      </c>
      <c r="D37" s="58" t="s">
        <v>255</v>
      </c>
      <c r="E37" s="58" t="s">
        <v>256</v>
      </c>
      <c r="F37" s="58" t="s">
        <v>247</v>
      </c>
      <c r="G37" s="58" t="s">
        <v>199</v>
      </c>
      <c r="H37" s="58" t="s">
        <v>220</v>
      </c>
      <c r="I37" s="58" t="s">
        <v>546</v>
      </c>
      <c r="J37" s="58" t="b">
        <f>COUNTIFS('3 Horários e seleção'!$H$6:$H$170,"☑",'3 Horários e seleção'!$J$6:$J$170,C37)&gt;0</f>
        <v>0</v>
      </c>
    </row>
    <row r="38" spans="1:10" ht="14.25" customHeight="1">
      <c r="A38" s="58">
        <v>9</v>
      </c>
      <c r="B38" s="58">
        <v>2</v>
      </c>
      <c r="C38" s="58" t="s">
        <v>253</v>
      </c>
      <c r="D38" s="58" t="s">
        <v>255</v>
      </c>
      <c r="E38" s="58" t="s">
        <v>256</v>
      </c>
      <c r="F38" s="58" t="s">
        <v>247</v>
      </c>
      <c r="G38" s="58" t="s">
        <v>199</v>
      </c>
      <c r="H38" s="58" t="s">
        <v>225</v>
      </c>
      <c r="I38" s="58" t="s">
        <v>546</v>
      </c>
      <c r="J38" s="58" t="b">
        <f>COUNTIFS('3 Horários e seleção'!$H$6:$H$170,"☑",'3 Horários e seleção'!$J$6:$J$170,C38)&gt;0</f>
        <v>0</v>
      </c>
    </row>
    <row r="39" spans="1:10" ht="14.25" customHeight="1">
      <c r="A39" s="58">
        <v>12</v>
      </c>
      <c r="B39" s="58">
        <v>2</v>
      </c>
      <c r="C39" s="58" t="s">
        <v>248</v>
      </c>
      <c r="D39" s="58" t="s">
        <v>261</v>
      </c>
      <c r="E39" s="58" t="s">
        <v>262</v>
      </c>
      <c r="F39" s="58" t="s">
        <v>247</v>
      </c>
      <c r="G39" s="58" t="s">
        <v>199</v>
      </c>
      <c r="H39" s="58" t="s">
        <v>228</v>
      </c>
      <c r="I39" s="58" t="s">
        <v>547</v>
      </c>
      <c r="J39" s="58" t="b">
        <f>COUNTIFS('3 Horários e seleção'!$H$6:$H$170,"☑",'3 Horários e seleção'!$J$6:$J$170,C39)&gt;0</f>
        <v>0</v>
      </c>
    </row>
    <row r="40" spans="1:10" ht="14.25" customHeight="1">
      <c r="A40" s="58">
        <v>12</v>
      </c>
      <c r="B40" s="58">
        <v>2</v>
      </c>
      <c r="C40" s="58" t="s">
        <v>248</v>
      </c>
      <c r="D40" s="58" t="s">
        <v>261</v>
      </c>
      <c r="E40" s="58" t="s">
        <v>262</v>
      </c>
      <c r="F40" s="58" t="s">
        <v>247</v>
      </c>
      <c r="G40" s="58" t="s">
        <v>199</v>
      </c>
      <c r="H40" s="58" t="s">
        <v>232</v>
      </c>
      <c r="I40" s="58" t="s">
        <v>547</v>
      </c>
      <c r="J40" s="58" t="b">
        <f>COUNTIFS('3 Horários e seleção'!$H$6:$H$170,"☑",'3 Horários e seleção'!$J$6:$J$170,C40)&gt;0</f>
        <v>0</v>
      </c>
    </row>
    <row r="41" spans="1:10" ht="14.25" customHeight="1">
      <c r="A41" s="58">
        <v>12</v>
      </c>
      <c r="B41" s="58">
        <v>2</v>
      </c>
      <c r="C41" s="58" t="s">
        <v>248</v>
      </c>
      <c r="D41" s="58" t="s">
        <v>261</v>
      </c>
      <c r="E41" s="58" t="s">
        <v>262</v>
      </c>
      <c r="F41" s="58" t="s">
        <v>247</v>
      </c>
      <c r="G41" s="58" t="s">
        <v>200</v>
      </c>
      <c r="H41" s="58" t="s">
        <v>217</v>
      </c>
      <c r="I41" s="58" t="s">
        <v>547</v>
      </c>
      <c r="J41" s="58" t="b">
        <f>COUNTIFS('3 Horários e seleção'!$H$6:$H$170,"☑",'3 Horários e seleção'!$J$6:$J$170,C41)&gt;0</f>
        <v>0</v>
      </c>
    </row>
    <row r="42" spans="1:10" ht="14.25" customHeight="1">
      <c r="A42" s="58">
        <v>12</v>
      </c>
      <c r="B42" s="58">
        <v>2</v>
      </c>
      <c r="C42" s="58" t="s">
        <v>248</v>
      </c>
      <c r="D42" s="58" t="s">
        <v>261</v>
      </c>
      <c r="E42" s="58" t="s">
        <v>262</v>
      </c>
      <c r="F42" s="58" t="s">
        <v>247</v>
      </c>
      <c r="G42" s="58" t="s">
        <v>200</v>
      </c>
      <c r="H42" s="58" t="s">
        <v>220</v>
      </c>
      <c r="I42" s="58" t="s">
        <v>547</v>
      </c>
      <c r="J42" s="58" t="b">
        <f>COUNTIFS('3 Horários e seleção'!$H$6:$H$170,"☑",'3 Horários e seleção'!$J$6:$J$170,C42)&gt;0</f>
        <v>0</v>
      </c>
    </row>
    <row r="43" spans="1:10" ht="14.25" customHeight="1">
      <c r="A43" s="58">
        <v>11</v>
      </c>
      <c r="B43" s="58">
        <v>2</v>
      </c>
      <c r="C43" s="58" t="s">
        <v>243</v>
      </c>
      <c r="D43" s="58" t="s">
        <v>259</v>
      </c>
      <c r="E43" s="58" t="s">
        <v>260</v>
      </c>
      <c r="F43" s="58" t="s">
        <v>247</v>
      </c>
      <c r="G43" s="58" t="s">
        <v>200</v>
      </c>
      <c r="H43" s="58" t="s">
        <v>225</v>
      </c>
      <c r="I43" s="58" t="s">
        <v>545</v>
      </c>
      <c r="J43" s="58" t="b">
        <f>COUNTIFS('3 Horários e seleção'!$H$6:$H$170,"☑",'3 Horários e seleção'!$J$6:$J$170,C43)&gt;0</f>
        <v>0</v>
      </c>
    </row>
    <row r="44" spans="1:10" ht="14.25" customHeight="1">
      <c r="A44" s="58">
        <v>11</v>
      </c>
      <c r="B44" s="58">
        <v>2</v>
      </c>
      <c r="C44" s="58" t="s">
        <v>243</v>
      </c>
      <c r="D44" s="58" t="s">
        <v>259</v>
      </c>
      <c r="E44" s="58" t="s">
        <v>260</v>
      </c>
      <c r="F44" s="58" t="s">
        <v>247</v>
      </c>
      <c r="G44" s="58" t="s">
        <v>200</v>
      </c>
      <c r="H44" s="58" t="s">
        <v>228</v>
      </c>
      <c r="I44" s="58" t="s">
        <v>545</v>
      </c>
      <c r="J44" s="58" t="b">
        <f>COUNTIFS('3 Horários e seleção'!$H$6:$H$170,"☑",'3 Horários e seleção'!$J$6:$J$170,C44)&gt;0</f>
        <v>0</v>
      </c>
    </row>
    <row r="45" spans="1:10" ht="14.25" customHeight="1">
      <c r="A45" s="58">
        <v>11</v>
      </c>
      <c r="B45" s="58">
        <v>2</v>
      </c>
      <c r="C45" s="58" t="s">
        <v>243</v>
      </c>
      <c r="D45" s="58" t="s">
        <v>259</v>
      </c>
      <c r="E45" s="58" t="s">
        <v>260</v>
      </c>
      <c r="F45" s="58" t="s">
        <v>247</v>
      </c>
      <c r="G45" s="58" t="s">
        <v>200</v>
      </c>
      <c r="H45" s="58" t="s">
        <v>232</v>
      </c>
      <c r="I45" s="58" t="s">
        <v>545</v>
      </c>
      <c r="J45" s="58" t="b">
        <f>COUNTIFS('3 Horários e seleção'!$H$6:$H$170,"☑",'3 Horários e seleção'!$J$6:$J$170,C45)&gt;0</f>
        <v>0</v>
      </c>
    </row>
    <row r="46" spans="1:10" ht="14.25" customHeight="1">
      <c r="A46" s="58">
        <v>7</v>
      </c>
      <c r="B46" s="58">
        <v>2</v>
      </c>
      <c r="C46" s="58" t="s">
        <v>244</v>
      </c>
      <c r="D46" s="58" t="s">
        <v>245</v>
      </c>
      <c r="E46" s="58" t="s">
        <v>246</v>
      </c>
      <c r="F46" s="58" t="s">
        <v>247</v>
      </c>
      <c r="G46" s="58" t="s">
        <v>201</v>
      </c>
      <c r="H46" s="58" t="s">
        <v>208</v>
      </c>
      <c r="I46" s="58" t="s">
        <v>548</v>
      </c>
      <c r="J46" s="58" t="b">
        <f>COUNTIFS('3 Horários e seleção'!$H$6:$H$170,"☑",'3 Horários e seleção'!$J$6:$J$170,C46)&gt;0</f>
        <v>0</v>
      </c>
    </row>
    <row r="47" spans="1:10" ht="14.25" customHeight="1">
      <c r="A47" s="58">
        <v>7</v>
      </c>
      <c r="B47" s="58">
        <v>2</v>
      </c>
      <c r="C47" s="58" t="s">
        <v>244</v>
      </c>
      <c r="D47" s="58" t="s">
        <v>245</v>
      </c>
      <c r="E47" s="58" t="s">
        <v>246</v>
      </c>
      <c r="F47" s="58" t="s">
        <v>247</v>
      </c>
      <c r="G47" s="58" t="s">
        <v>201</v>
      </c>
      <c r="H47" s="58" t="s">
        <v>217</v>
      </c>
      <c r="I47" s="58" t="s">
        <v>548</v>
      </c>
      <c r="J47" s="58" t="b">
        <f>COUNTIFS('3 Horários e seleção'!$H$6:$H$170,"☑",'3 Horários e seleção'!$J$6:$J$170,C47)&gt;0</f>
        <v>0</v>
      </c>
    </row>
    <row r="48" spans="1:10" ht="14.25" customHeight="1">
      <c r="A48" s="58">
        <v>13</v>
      </c>
      <c r="B48" s="58">
        <v>2</v>
      </c>
      <c r="C48" s="58" t="s">
        <v>254</v>
      </c>
      <c r="D48" s="58" t="s">
        <v>263</v>
      </c>
      <c r="E48" s="58" t="s">
        <v>264</v>
      </c>
      <c r="F48" s="58" t="s">
        <v>235</v>
      </c>
      <c r="G48" s="58" t="s">
        <v>201</v>
      </c>
      <c r="H48" s="58" t="s">
        <v>220</v>
      </c>
      <c r="I48" s="58" t="s">
        <v>549</v>
      </c>
      <c r="J48" s="58" t="b">
        <f>COUNTIFS('3 Horários e seleção'!$H$6:$H$170,"☑",'3 Horários e seleção'!$J$6:$J$170,C48)&gt;0</f>
        <v>0</v>
      </c>
    </row>
    <row r="49" spans="1:10" ht="14.25" customHeight="1">
      <c r="A49" s="58">
        <v>13</v>
      </c>
      <c r="B49" s="58">
        <v>2</v>
      </c>
      <c r="C49" s="58" t="s">
        <v>254</v>
      </c>
      <c r="D49" s="58" t="s">
        <v>263</v>
      </c>
      <c r="E49" s="58" t="s">
        <v>264</v>
      </c>
      <c r="F49" s="58" t="s">
        <v>235</v>
      </c>
      <c r="G49" s="58" t="s">
        <v>201</v>
      </c>
      <c r="H49" s="58" t="s">
        <v>225</v>
      </c>
      <c r="I49" s="58" t="s">
        <v>549</v>
      </c>
      <c r="J49" s="58" t="b">
        <f>COUNTIFS('3 Horários e seleção'!$H$6:$H$170,"☑",'3 Horários e seleção'!$J$6:$J$170,C49)&gt;0</f>
        <v>0</v>
      </c>
    </row>
    <row r="50" spans="1:10" ht="14.25" customHeight="1">
      <c r="A50" s="58">
        <v>13</v>
      </c>
      <c r="B50" s="58">
        <v>2</v>
      </c>
      <c r="C50" s="58" t="s">
        <v>254</v>
      </c>
      <c r="D50" s="58" t="s">
        <v>263</v>
      </c>
      <c r="E50" s="58" t="s">
        <v>264</v>
      </c>
      <c r="F50" s="58" t="s">
        <v>235</v>
      </c>
      <c r="G50" s="58" t="s">
        <v>201</v>
      </c>
      <c r="H50" s="58" t="s">
        <v>228</v>
      </c>
      <c r="I50" s="58" t="s">
        <v>549</v>
      </c>
      <c r="J50" s="58" t="b">
        <f>COUNTIFS('3 Horários e seleção'!$H$6:$H$170,"☑",'3 Horários e seleção'!$J$6:$J$170,C50)&gt;0</f>
        <v>0</v>
      </c>
    </row>
    <row r="51" spans="1:10" ht="14.25" customHeight="1">
      <c r="A51" s="58">
        <v>13</v>
      </c>
      <c r="B51" s="58">
        <v>2</v>
      </c>
      <c r="C51" s="58" t="s">
        <v>254</v>
      </c>
      <c r="D51" s="58" t="s">
        <v>263</v>
      </c>
      <c r="E51" s="58" t="s">
        <v>264</v>
      </c>
      <c r="F51" s="58" t="s">
        <v>235</v>
      </c>
      <c r="G51" s="58" t="s">
        <v>201</v>
      </c>
      <c r="H51" s="58" t="s">
        <v>232</v>
      </c>
      <c r="I51" s="58" t="s">
        <v>549</v>
      </c>
      <c r="J51" s="58" t="b">
        <f>COUNTIFS('3 Horários e seleção'!$H$6:$H$170,"☑",'3 Horários e seleção'!$J$6:$J$170,C51)&gt;0</f>
        <v>0</v>
      </c>
    </row>
    <row r="52" spans="1:10" ht="14.25" customHeight="1">
      <c r="A52" s="58">
        <v>9</v>
      </c>
      <c r="B52" s="58">
        <v>2</v>
      </c>
      <c r="C52" s="58" t="s">
        <v>253</v>
      </c>
      <c r="D52" s="58" t="s">
        <v>255</v>
      </c>
      <c r="E52" s="58" t="s">
        <v>256</v>
      </c>
      <c r="F52" s="58" t="s">
        <v>247</v>
      </c>
      <c r="G52" s="58" t="s">
        <v>202</v>
      </c>
      <c r="H52" s="58" t="s">
        <v>220</v>
      </c>
      <c r="I52" s="58" t="s">
        <v>546</v>
      </c>
      <c r="J52" s="58" t="b">
        <f>COUNTIFS('3 Horários e seleção'!$H$6:$H$170,"☑",'3 Horários e seleção'!$J$6:$J$170,C52)&gt;0</f>
        <v>0</v>
      </c>
    </row>
    <row r="53" spans="1:10" ht="14.25" customHeight="1">
      <c r="A53" s="58">
        <v>9</v>
      </c>
      <c r="B53" s="58">
        <v>2</v>
      </c>
      <c r="C53" s="58" t="s">
        <v>253</v>
      </c>
      <c r="D53" s="58" t="s">
        <v>255</v>
      </c>
      <c r="E53" s="58" t="s">
        <v>256</v>
      </c>
      <c r="F53" s="58" t="s">
        <v>247</v>
      </c>
      <c r="G53" s="58" t="s">
        <v>202</v>
      </c>
      <c r="H53" s="58" t="s">
        <v>225</v>
      </c>
      <c r="I53" s="58" t="s">
        <v>546</v>
      </c>
      <c r="J53" s="58" t="b">
        <f>COUNTIFS('3 Horários e seleção'!$H$6:$H$170,"☑",'3 Horários e seleção'!$J$6:$J$170,C53)&gt;0</f>
        <v>0</v>
      </c>
    </row>
    <row r="54" spans="1:10" ht="14.25" customHeight="1">
      <c r="A54" s="58">
        <v>7</v>
      </c>
      <c r="B54" s="58">
        <v>2</v>
      </c>
      <c r="C54" s="58" t="s">
        <v>244</v>
      </c>
      <c r="D54" s="58" t="s">
        <v>245</v>
      </c>
      <c r="E54" s="58" t="s">
        <v>246</v>
      </c>
      <c r="F54" s="58" t="s">
        <v>247</v>
      </c>
      <c r="G54" s="58" t="s">
        <v>202</v>
      </c>
      <c r="H54" s="58" t="s">
        <v>228</v>
      </c>
      <c r="I54" s="58" t="s">
        <v>548</v>
      </c>
      <c r="J54" s="58" t="b">
        <f>COUNTIFS('3 Horários e seleção'!$H$6:$H$170,"☑",'3 Horários e seleção'!$J$6:$J$170,C54)&gt;0</f>
        <v>0</v>
      </c>
    </row>
    <row r="55" spans="1:10" ht="14.25" customHeight="1">
      <c r="A55" s="58">
        <v>7</v>
      </c>
      <c r="B55" s="58">
        <v>2</v>
      </c>
      <c r="C55" s="58" t="s">
        <v>244</v>
      </c>
      <c r="D55" s="58" t="s">
        <v>245</v>
      </c>
      <c r="E55" s="58" t="s">
        <v>246</v>
      </c>
      <c r="F55" s="58" t="s">
        <v>247</v>
      </c>
      <c r="G55" s="58" t="s">
        <v>202</v>
      </c>
      <c r="H55" s="58" t="s">
        <v>232</v>
      </c>
      <c r="I55" s="58" t="s">
        <v>548</v>
      </c>
      <c r="J55" s="58" t="b">
        <f>COUNTIFS('3 Horários e seleção'!$H$6:$H$170,"☑",'3 Horários e seleção'!$J$6:$J$170,C55)&gt;0</f>
        <v>0</v>
      </c>
    </row>
    <row r="56" spans="1:10" ht="14.25" customHeight="1">
      <c r="A56" s="58">
        <v>20</v>
      </c>
      <c r="B56" s="58">
        <v>3</v>
      </c>
      <c r="C56" s="58" t="s">
        <v>266</v>
      </c>
      <c r="D56" s="58" t="s">
        <v>285</v>
      </c>
      <c r="E56" s="58" t="s">
        <v>260</v>
      </c>
      <c r="F56" s="58" t="s">
        <v>271</v>
      </c>
      <c r="G56" s="58" t="s">
        <v>198</v>
      </c>
      <c r="H56" s="58" t="s">
        <v>220</v>
      </c>
      <c r="I56" s="58" t="s">
        <v>550</v>
      </c>
      <c r="J56" s="58" t="b">
        <f>COUNTIFS('3 Horários e seleção'!$H$6:$H$170,"☑",'3 Horários e seleção'!$J$6:$J$170,C56)&gt;0</f>
        <v>0</v>
      </c>
    </row>
    <row r="57" spans="1:10" ht="14.25" customHeight="1">
      <c r="A57" s="58">
        <v>20</v>
      </c>
      <c r="B57" s="58">
        <v>3</v>
      </c>
      <c r="C57" s="58" t="s">
        <v>266</v>
      </c>
      <c r="D57" s="58" t="s">
        <v>285</v>
      </c>
      <c r="E57" s="58" t="s">
        <v>260</v>
      </c>
      <c r="F57" s="58" t="s">
        <v>271</v>
      </c>
      <c r="G57" s="58" t="s">
        <v>198</v>
      </c>
      <c r="H57" s="58" t="s">
        <v>225</v>
      </c>
      <c r="I57" s="58" t="s">
        <v>550</v>
      </c>
      <c r="J57" s="58" t="b">
        <f>COUNTIFS('3 Horários e seleção'!$H$6:$H$170,"☑",'3 Horários e seleção'!$J$6:$J$170,C57)&gt;0</f>
        <v>0</v>
      </c>
    </row>
    <row r="58" spans="1:10" ht="14.25" customHeight="1">
      <c r="A58" s="58">
        <v>15</v>
      </c>
      <c r="B58" s="58">
        <v>3</v>
      </c>
      <c r="C58" s="58" t="s">
        <v>272</v>
      </c>
      <c r="D58" s="58" t="s">
        <v>273</v>
      </c>
      <c r="E58" s="58" t="s">
        <v>274</v>
      </c>
      <c r="F58" s="58" t="s">
        <v>271</v>
      </c>
      <c r="G58" s="58" t="s">
        <v>198</v>
      </c>
      <c r="H58" s="58" t="s">
        <v>228</v>
      </c>
      <c r="I58" s="58" t="s">
        <v>551</v>
      </c>
      <c r="J58" s="58" t="b">
        <f>COUNTIFS('3 Horários e seleção'!$H$6:$H$170,"☑",'3 Horários e seleção'!$J$6:$J$170,C58)&gt;0</f>
        <v>0</v>
      </c>
    </row>
    <row r="59" spans="1:10" ht="14.25" customHeight="1">
      <c r="A59" s="58">
        <v>15</v>
      </c>
      <c r="B59" s="58">
        <v>3</v>
      </c>
      <c r="C59" s="58" t="s">
        <v>272</v>
      </c>
      <c r="D59" s="58" t="s">
        <v>273</v>
      </c>
      <c r="E59" s="58" t="s">
        <v>274</v>
      </c>
      <c r="F59" s="58" t="s">
        <v>271</v>
      </c>
      <c r="G59" s="58" t="s">
        <v>198</v>
      </c>
      <c r="H59" s="58" t="s">
        <v>232</v>
      </c>
      <c r="I59" s="58" t="s">
        <v>551</v>
      </c>
      <c r="J59" s="58" t="b">
        <f>COUNTIFS('3 Horários e seleção'!$H$6:$H$170,"☑",'3 Horários e seleção'!$J$6:$J$170,C59)&gt;0</f>
        <v>0</v>
      </c>
    </row>
    <row r="60" spans="1:10" ht="14.25" customHeight="1">
      <c r="A60" s="58">
        <v>14</v>
      </c>
      <c r="B60" s="58">
        <v>3</v>
      </c>
      <c r="C60" s="58" t="s">
        <v>268</v>
      </c>
      <c r="D60" s="58" t="s">
        <v>269</v>
      </c>
      <c r="E60" s="58" t="s">
        <v>270</v>
      </c>
      <c r="F60" s="58" t="s">
        <v>271</v>
      </c>
      <c r="G60" s="58" t="s">
        <v>199</v>
      </c>
      <c r="H60" s="58" t="s">
        <v>217</v>
      </c>
      <c r="I60" s="58" t="s">
        <v>552</v>
      </c>
      <c r="J60" s="58" t="b">
        <f>COUNTIFS('3 Horários e seleção'!$H$6:$H$170,"☑",'3 Horários e seleção'!$J$6:$J$170,C60)&gt;0</f>
        <v>0</v>
      </c>
    </row>
    <row r="61" spans="1:10" ht="14.25" customHeight="1">
      <c r="A61" s="58">
        <v>14</v>
      </c>
      <c r="B61" s="58">
        <v>3</v>
      </c>
      <c r="C61" s="58" t="s">
        <v>268</v>
      </c>
      <c r="D61" s="58" t="s">
        <v>269</v>
      </c>
      <c r="E61" s="58" t="s">
        <v>270</v>
      </c>
      <c r="F61" s="58" t="s">
        <v>271</v>
      </c>
      <c r="G61" s="58" t="s">
        <v>199</v>
      </c>
      <c r="H61" s="58" t="s">
        <v>220</v>
      </c>
      <c r="I61" s="58" t="s">
        <v>552</v>
      </c>
      <c r="J61" s="58" t="b">
        <f>COUNTIFS('3 Horários e seleção'!$H$6:$H$170,"☑",'3 Horários e seleção'!$J$6:$J$170,C61)&gt;0</f>
        <v>0</v>
      </c>
    </row>
    <row r="62" spans="1:10" ht="14.25" customHeight="1">
      <c r="A62" s="58">
        <v>21</v>
      </c>
      <c r="B62" s="58">
        <v>3</v>
      </c>
      <c r="C62" s="58" t="s">
        <v>279</v>
      </c>
      <c r="D62" s="58" t="s">
        <v>286</v>
      </c>
      <c r="E62" s="58" t="s">
        <v>287</v>
      </c>
      <c r="F62" s="58" t="s">
        <v>271</v>
      </c>
      <c r="G62" s="58" t="s">
        <v>199</v>
      </c>
      <c r="H62" s="58" t="s">
        <v>225</v>
      </c>
      <c r="I62" s="58" t="s">
        <v>553</v>
      </c>
      <c r="J62" s="58" t="b">
        <f>COUNTIFS('3 Horários e seleção'!$H$6:$H$170,"☑",'3 Horários e seleção'!$J$6:$J$170,C62)&gt;0</f>
        <v>0</v>
      </c>
    </row>
    <row r="63" spans="1:10" ht="14.25" customHeight="1">
      <c r="A63" s="58">
        <v>21</v>
      </c>
      <c r="B63" s="58">
        <v>3</v>
      </c>
      <c r="C63" s="58" t="s">
        <v>279</v>
      </c>
      <c r="D63" s="58" t="s">
        <v>286</v>
      </c>
      <c r="E63" s="58" t="s">
        <v>287</v>
      </c>
      <c r="F63" s="58" t="s">
        <v>271</v>
      </c>
      <c r="G63" s="58" t="s">
        <v>199</v>
      </c>
      <c r="H63" s="58" t="s">
        <v>228</v>
      </c>
      <c r="I63" s="58" t="s">
        <v>553</v>
      </c>
      <c r="J63" s="58" t="b">
        <f>COUNTIFS('3 Horários e seleção'!$H$6:$H$170,"☑",'3 Horários e seleção'!$J$6:$J$170,C63)&gt;0</f>
        <v>0</v>
      </c>
    </row>
    <row r="64" spans="1:10" ht="14.25" customHeight="1">
      <c r="A64" s="58">
        <v>21</v>
      </c>
      <c r="B64" s="58">
        <v>3</v>
      </c>
      <c r="C64" s="58" t="s">
        <v>279</v>
      </c>
      <c r="D64" s="58" t="s">
        <v>286</v>
      </c>
      <c r="E64" s="58" t="s">
        <v>287</v>
      </c>
      <c r="F64" s="58" t="s">
        <v>271</v>
      </c>
      <c r="G64" s="58" t="s">
        <v>199</v>
      </c>
      <c r="H64" s="58" t="s">
        <v>232</v>
      </c>
      <c r="I64" s="58" t="s">
        <v>553</v>
      </c>
      <c r="J64" s="58" t="b">
        <f>COUNTIFS('3 Horários e seleção'!$H$6:$H$170,"☑",'3 Horários e seleção'!$J$6:$J$170,C64)&gt;0</f>
        <v>0</v>
      </c>
    </row>
    <row r="65" spans="1:10" ht="14.25" customHeight="1">
      <c r="A65" s="58">
        <v>20</v>
      </c>
      <c r="B65" s="58">
        <v>3</v>
      </c>
      <c r="C65" s="58" t="s">
        <v>266</v>
      </c>
      <c r="D65" s="58" t="s">
        <v>285</v>
      </c>
      <c r="E65" s="58" t="s">
        <v>260</v>
      </c>
      <c r="F65" s="58" t="s">
        <v>271</v>
      </c>
      <c r="G65" s="58" t="s">
        <v>200</v>
      </c>
      <c r="H65" s="58" t="s">
        <v>208</v>
      </c>
      <c r="I65" s="58" t="s">
        <v>550</v>
      </c>
      <c r="J65" s="58" t="b">
        <f>COUNTIFS('3 Horários e seleção'!$H$6:$H$170,"☑",'3 Horários e seleção'!$J$6:$J$170,C65)&gt;0</f>
        <v>0</v>
      </c>
    </row>
    <row r="66" spans="1:10" ht="14.25" customHeight="1">
      <c r="A66" s="58">
        <v>20</v>
      </c>
      <c r="B66" s="58">
        <v>3</v>
      </c>
      <c r="C66" s="58" t="s">
        <v>266</v>
      </c>
      <c r="D66" s="58" t="s">
        <v>285</v>
      </c>
      <c r="E66" s="58" t="s">
        <v>260</v>
      </c>
      <c r="F66" s="58" t="s">
        <v>271</v>
      </c>
      <c r="G66" s="58" t="s">
        <v>200</v>
      </c>
      <c r="H66" s="58" t="s">
        <v>217</v>
      </c>
      <c r="I66" s="58" t="s">
        <v>550</v>
      </c>
      <c r="J66" s="58" t="b">
        <f>COUNTIFS('3 Horários e seleção'!$H$6:$H$170,"☑",'3 Horários e seleção'!$J$6:$J$170,C66)&gt;0</f>
        <v>0</v>
      </c>
    </row>
    <row r="67" spans="1:10" ht="14.25" customHeight="1">
      <c r="A67" s="58">
        <v>19</v>
      </c>
      <c r="B67" s="58">
        <v>3</v>
      </c>
      <c r="C67" s="58" t="s">
        <v>267</v>
      </c>
      <c r="D67" s="58" t="s">
        <v>283</v>
      </c>
      <c r="E67" s="58" t="s">
        <v>284</v>
      </c>
      <c r="F67" s="58" t="s">
        <v>271</v>
      </c>
      <c r="G67" s="58" t="s">
        <v>200</v>
      </c>
      <c r="H67" s="58" t="s">
        <v>220</v>
      </c>
      <c r="I67" s="58" t="s">
        <v>554</v>
      </c>
      <c r="J67" s="58" t="b">
        <f>COUNTIFS('3 Horários e seleção'!$H$6:$H$170,"☑",'3 Horários e seleção'!$J$6:$J$170,C67)&gt;0</f>
        <v>0</v>
      </c>
    </row>
    <row r="68" spans="1:10" ht="14.25" customHeight="1">
      <c r="A68" s="58">
        <v>19</v>
      </c>
      <c r="B68" s="58">
        <v>3</v>
      </c>
      <c r="C68" s="58" t="s">
        <v>267</v>
      </c>
      <c r="D68" s="58" t="s">
        <v>283</v>
      </c>
      <c r="E68" s="58" t="s">
        <v>284</v>
      </c>
      <c r="F68" s="58" t="s">
        <v>271</v>
      </c>
      <c r="G68" s="58" t="s">
        <v>200</v>
      </c>
      <c r="H68" s="58" t="s">
        <v>225</v>
      </c>
      <c r="I68" s="58" t="s">
        <v>554</v>
      </c>
      <c r="J68" s="58" t="b">
        <f>COUNTIFS('3 Horários e seleção'!$H$6:$H$170,"☑",'3 Horários e seleção'!$J$6:$J$170,C68)&gt;0</f>
        <v>0</v>
      </c>
    </row>
    <row r="69" spans="1:10" ht="14.25" customHeight="1">
      <c r="A69" s="58">
        <v>17</v>
      </c>
      <c r="B69" s="58">
        <v>3</v>
      </c>
      <c r="C69" s="58" t="s">
        <v>275</v>
      </c>
      <c r="D69" s="58" t="s">
        <v>280</v>
      </c>
      <c r="E69" s="58" t="s">
        <v>281</v>
      </c>
      <c r="F69" s="58" t="s">
        <v>271</v>
      </c>
      <c r="G69" s="58" t="s">
        <v>200</v>
      </c>
      <c r="H69" s="58" t="s">
        <v>228</v>
      </c>
      <c r="I69" s="58" t="s">
        <v>555</v>
      </c>
      <c r="J69" s="58" t="b">
        <f>COUNTIFS('3 Horários e seleção'!$H$6:$H$170,"☑",'3 Horários e seleção'!$J$6:$J$170,C69)&gt;0</f>
        <v>0</v>
      </c>
    </row>
    <row r="70" spans="1:10" ht="14.25" customHeight="1">
      <c r="A70" s="58">
        <v>17</v>
      </c>
      <c r="B70" s="58">
        <v>3</v>
      </c>
      <c r="C70" s="58" t="s">
        <v>275</v>
      </c>
      <c r="D70" s="58" t="s">
        <v>280</v>
      </c>
      <c r="E70" s="58" t="s">
        <v>281</v>
      </c>
      <c r="F70" s="58" t="s">
        <v>271</v>
      </c>
      <c r="G70" s="58" t="s">
        <v>200</v>
      </c>
      <c r="H70" s="58" t="s">
        <v>232</v>
      </c>
      <c r="I70" s="58" t="s">
        <v>555</v>
      </c>
      <c r="J70" s="58" t="b">
        <f>COUNTIFS('3 Horários e seleção'!$H$6:$H$170,"☑",'3 Horários e seleção'!$J$6:$J$170,C70)&gt;0</f>
        <v>0</v>
      </c>
    </row>
    <row r="71" spans="1:10" ht="14.25" customHeight="1">
      <c r="A71" s="58">
        <v>19</v>
      </c>
      <c r="B71" s="58">
        <v>3</v>
      </c>
      <c r="C71" s="58" t="s">
        <v>267</v>
      </c>
      <c r="D71" s="58" t="s">
        <v>283</v>
      </c>
      <c r="E71" s="58" t="s">
        <v>284</v>
      </c>
      <c r="F71" s="58" t="s">
        <v>271</v>
      </c>
      <c r="G71" s="58" t="s">
        <v>201</v>
      </c>
      <c r="H71" s="58" t="s">
        <v>208</v>
      </c>
      <c r="I71" s="58" t="s">
        <v>554</v>
      </c>
      <c r="J71" s="58" t="b">
        <f>COUNTIFS('3 Horários e seleção'!$H$6:$H$170,"☑",'3 Horários e seleção'!$J$6:$J$170,C71)&gt;0</f>
        <v>0</v>
      </c>
    </row>
    <row r="72" spans="1:10" ht="14.25" customHeight="1">
      <c r="A72" s="58">
        <v>19</v>
      </c>
      <c r="B72" s="58">
        <v>3</v>
      </c>
      <c r="C72" s="58" t="s">
        <v>267</v>
      </c>
      <c r="D72" s="58" t="s">
        <v>283</v>
      </c>
      <c r="E72" s="58" t="s">
        <v>284</v>
      </c>
      <c r="F72" s="58" t="s">
        <v>271</v>
      </c>
      <c r="G72" s="58" t="s">
        <v>201</v>
      </c>
      <c r="H72" s="58" t="s">
        <v>217</v>
      </c>
      <c r="I72" s="58" t="s">
        <v>554</v>
      </c>
      <c r="J72" s="58" t="b">
        <f>COUNTIFS('3 Horários e seleção'!$H$6:$H$170,"☑",'3 Horários e seleção'!$J$6:$J$170,C72)&gt;0</f>
        <v>0</v>
      </c>
    </row>
    <row r="73" spans="1:10" ht="14.25" customHeight="1">
      <c r="A73" s="58">
        <v>17</v>
      </c>
      <c r="B73" s="58">
        <v>3</v>
      </c>
      <c r="C73" s="58" t="s">
        <v>275</v>
      </c>
      <c r="D73" s="58" t="s">
        <v>280</v>
      </c>
      <c r="E73" s="58" t="s">
        <v>281</v>
      </c>
      <c r="F73" s="58" t="s">
        <v>271</v>
      </c>
      <c r="G73" s="58" t="s">
        <v>201</v>
      </c>
      <c r="H73" s="58" t="s">
        <v>220</v>
      </c>
      <c r="I73" s="58" t="s">
        <v>555</v>
      </c>
      <c r="J73" s="58" t="b">
        <f>COUNTIFS('3 Horários e seleção'!$H$6:$H$170,"☑",'3 Horários e seleção'!$J$6:$J$170,C73)&gt;0</f>
        <v>0</v>
      </c>
    </row>
    <row r="74" spans="1:10" ht="14.25" customHeight="1">
      <c r="A74" s="58">
        <v>17</v>
      </c>
      <c r="B74" s="58">
        <v>3</v>
      </c>
      <c r="C74" s="58" t="s">
        <v>275</v>
      </c>
      <c r="D74" s="58" t="s">
        <v>280</v>
      </c>
      <c r="E74" s="58" t="s">
        <v>281</v>
      </c>
      <c r="F74" s="58" t="s">
        <v>271</v>
      </c>
      <c r="G74" s="58" t="s">
        <v>201</v>
      </c>
      <c r="H74" s="58" t="s">
        <v>225</v>
      </c>
      <c r="I74" s="58" t="s">
        <v>555</v>
      </c>
      <c r="J74" s="58" t="b">
        <f>COUNTIFS('3 Horários e seleção'!$H$6:$H$170,"☑",'3 Horários e seleção'!$J$6:$J$170,C74)&gt;0</f>
        <v>0</v>
      </c>
    </row>
    <row r="75" spans="1:10" ht="14.25" customHeight="1">
      <c r="A75" s="58">
        <v>21</v>
      </c>
      <c r="B75" s="58">
        <v>3</v>
      </c>
      <c r="C75" s="58" t="s">
        <v>279</v>
      </c>
      <c r="D75" s="58" t="s">
        <v>286</v>
      </c>
      <c r="E75" s="58" t="s">
        <v>287</v>
      </c>
      <c r="F75" s="58" t="s">
        <v>271</v>
      </c>
      <c r="G75" s="58" t="s">
        <v>201</v>
      </c>
      <c r="H75" s="58" t="s">
        <v>228</v>
      </c>
      <c r="I75" s="58" t="s">
        <v>553</v>
      </c>
      <c r="J75" s="58" t="b">
        <f>COUNTIFS('3 Horários e seleção'!$H$6:$H$170,"☑",'3 Horários e seleção'!$J$6:$J$170,C75)&gt;0</f>
        <v>0</v>
      </c>
    </row>
    <row r="76" spans="1:10" ht="14.25" customHeight="1">
      <c r="A76" s="58">
        <v>21</v>
      </c>
      <c r="B76" s="58">
        <v>3</v>
      </c>
      <c r="C76" s="58" t="s">
        <v>279</v>
      </c>
      <c r="D76" s="58" t="s">
        <v>286</v>
      </c>
      <c r="E76" s="58" t="s">
        <v>287</v>
      </c>
      <c r="F76" s="58" t="s">
        <v>271</v>
      </c>
      <c r="G76" s="58" t="s">
        <v>201</v>
      </c>
      <c r="H76" s="58" t="s">
        <v>232</v>
      </c>
      <c r="I76" s="58" t="s">
        <v>553</v>
      </c>
      <c r="J76" s="58" t="b">
        <f>COUNTIFS('3 Horários e seleção'!$H$6:$H$170,"☑",'3 Horários e seleção'!$J$6:$J$170,C76)&gt;0</f>
        <v>0</v>
      </c>
    </row>
    <row r="77" spans="1:10" ht="14.25" customHeight="1">
      <c r="A77" s="58">
        <v>18</v>
      </c>
      <c r="B77" s="58">
        <v>3</v>
      </c>
      <c r="C77" s="58" t="s">
        <v>276</v>
      </c>
      <c r="D77" s="58" t="s">
        <v>282</v>
      </c>
      <c r="E77" s="58" t="s">
        <v>281</v>
      </c>
      <c r="F77" s="58" t="s">
        <v>258</v>
      </c>
      <c r="G77" s="58" t="s">
        <v>202</v>
      </c>
      <c r="H77" s="58" t="s">
        <v>220</v>
      </c>
      <c r="I77" s="58" t="s">
        <v>556</v>
      </c>
      <c r="J77" s="58" t="b">
        <f>COUNTIFS('3 Horários e seleção'!$H$6:$H$170,"☑",'3 Horários e seleção'!$J$6:$J$170,C77)&gt;0</f>
        <v>0</v>
      </c>
    </row>
    <row r="78" spans="1:10" ht="14.25" customHeight="1">
      <c r="A78" s="58">
        <v>18</v>
      </c>
      <c r="B78" s="58">
        <v>3</v>
      </c>
      <c r="C78" s="58" t="s">
        <v>276</v>
      </c>
      <c r="D78" s="58" t="s">
        <v>282</v>
      </c>
      <c r="E78" s="58" t="s">
        <v>281</v>
      </c>
      <c r="F78" s="58" t="s">
        <v>258</v>
      </c>
      <c r="G78" s="58" t="s">
        <v>202</v>
      </c>
      <c r="H78" s="58" t="s">
        <v>225</v>
      </c>
      <c r="I78" s="58" t="s">
        <v>556</v>
      </c>
      <c r="J78" s="58" t="b">
        <f>COUNTIFS('3 Horários e seleção'!$H$6:$H$170,"☑",'3 Horários e seleção'!$J$6:$J$170,C78)&gt;0</f>
        <v>0</v>
      </c>
    </row>
    <row r="79" spans="1:10" ht="14.25" customHeight="1">
      <c r="A79" s="58">
        <v>16</v>
      </c>
      <c r="B79" s="58">
        <v>3</v>
      </c>
      <c r="C79" s="58" t="s">
        <v>277</v>
      </c>
      <c r="D79" s="58" t="s">
        <v>278</v>
      </c>
      <c r="E79" s="58" t="s">
        <v>274</v>
      </c>
      <c r="F79" s="58" t="s">
        <v>251</v>
      </c>
      <c r="G79" s="58" t="s">
        <v>202</v>
      </c>
      <c r="H79" s="58" t="s">
        <v>228</v>
      </c>
      <c r="I79" s="58" t="s">
        <v>557</v>
      </c>
      <c r="J79" s="58" t="b">
        <f>COUNTIFS('3 Horários e seleção'!$H$6:$H$170,"☑",'3 Horários e seleção'!$J$6:$J$170,C79)&gt;0</f>
        <v>0</v>
      </c>
    </row>
    <row r="80" spans="1:10" ht="14.25" customHeight="1">
      <c r="A80" s="58">
        <v>16</v>
      </c>
      <c r="B80" s="58">
        <v>3</v>
      </c>
      <c r="C80" s="58" t="s">
        <v>277</v>
      </c>
      <c r="D80" s="58" t="s">
        <v>278</v>
      </c>
      <c r="E80" s="58" t="s">
        <v>274</v>
      </c>
      <c r="F80" s="58" t="s">
        <v>251</v>
      </c>
      <c r="G80" s="58" t="s">
        <v>202</v>
      </c>
      <c r="H80" s="58" t="s">
        <v>232</v>
      </c>
      <c r="I80" s="58" t="s">
        <v>557</v>
      </c>
      <c r="J80" s="58" t="b">
        <f>COUNTIFS('3 Horários e seleção'!$H$6:$H$170,"☑",'3 Horários e seleção'!$J$6:$J$170,C80)&gt;0</f>
        <v>0</v>
      </c>
    </row>
    <row r="81" spans="1:10" ht="14.25" customHeight="1">
      <c r="A81" s="58">
        <v>28</v>
      </c>
      <c r="B81" s="58">
        <v>4</v>
      </c>
      <c r="C81" s="58" t="s">
        <v>300</v>
      </c>
      <c r="D81" s="58" t="s">
        <v>308</v>
      </c>
      <c r="E81" s="58" t="s">
        <v>274</v>
      </c>
      <c r="F81" s="58" t="s">
        <v>296</v>
      </c>
      <c r="G81" s="58" t="s">
        <v>198</v>
      </c>
      <c r="H81" s="58" t="s">
        <v>220</v>
      </c>
      <c r="I81" s="58" t="s">
        <v>558</v>
      </c>
      <c r="J81" s="58" t="b">
        <f>COUNTIFS('3 Horários e seleção'!$H$6:$H$170,"☑",'3 Horários e seleção'!$J$6:$J$170,C81)&gt;0</f>
        <v>0</v>
      </c>
    </row>
    <row r="82" spans="1:10" ht="14.25" customHeight="1">
      <c r="A82" s="58">
        <v>28</v>
      </c>
      <c r="B82" s="58">
        <v>4</v>
      </c>
      <c r="C82" s="58" t="s">
        <v>300</v>
      </c>
      <c r="D82" s="58" t="s">
        <v>308</v>
      </c>
      <c r="E82" s="58" t="s">
        <v>274</v>
      </c>
      <c r="F82" s="58" t="s">
        <v>296</v>
      </c>
      <c r="G82" s="58" t="s">
        <v>198</v>
      </c>
      <c r="H82" s="58" t="s">
        <v>225</v>
      </c>
      <c r="I82" s="58" t="s">
        <v>558</v>
      </c>
      <c r="J82" s="58" t="b">
        <f>COUNTIFS('3 Horários e seleção'!$H$6:$H$170,"☑",'3 Horários e seleção'!$J$6:$J$170,C82)&gt;0</f>
        <v>0</v>
      </c>
    </row>
    <row r="83" spans="1:10" ht="14.25" customHeight="1">
      <c r="A83" s="58">
        <v>22</v>
      </c>
      <c r="B83" s="58">
        <v>4</v>
      </c>
      <c r="C83" s="58" t="s">
        <v>293</v>
      </c>
      <c r="D83" s="58" t="s">
        <v>294</v>
      </c>
      <c r="E83" s="58" t="s">
        <v>295</v>
      </c>
      <c r="F83" s="58" t="s">
        <v>296</v>
      </c>
      <c r="G83" s="58" t="s">
        <v>198</v>
      </c>
      <c r="H83" s="58" t="s">
        <v>228</v>
      </c>
      <c r="I83" s="58" t="s">
        <v>559</v>
      </c>
      <c r="J83" s="58" t="b">
        <f>COUNTIFS('3 Horários e seleção'!$H$6:$H$170,"☑",'3 Horários e seleção'!$J$6:$J$170,C83)&gt;0</f>
        <v>0</v>
      </c>
    </row>
    <row r="84" spans="1:10" ht="14.25" customHeight="1">
      <c r="A84" s="58">
        <v>22</v>
      </c>
      <c r="B84" s="58">
        <v>4</v>
      </c>
      <c r="C84" s="58" t="s">
        <v>293</v>
      </c>
      <c r="D84" s="58" t="s">
        <v>294</v>
      </c>
      <c r="E84" s="58" t="s">
        <v>295</v>
      </c>
      <c r="F84" s="58" t="s">
        <v>296</v>
      </c>
      <c r="G84" s="58" t="s">
        <v>198</v>
      </c>
      <c r="H84" s="58" t="s">
        <v>232</v>
      </c>
      <c r="I84" s="58" t="s">
        <v>559</v>
      </c>
      <c r="J84" s="58" t="b">
        <f>COUNTIFS('3 Horários e seleção'!$H$6:$H$170,"☑",'3 Horários e seleção'!$J$6:$J$170,C84)&gt;0</f>
        <v>0</v>
      </c>
    </row>
    <row r="85" spans="1:10" ht="14.25" customHeight="1">
      <c r="A85" s="58">
        <v>64</v>
      </c>
      <c r="B85" s="58">
        <v>4</v>
      </c>
      <c r="C85" s="58" t="s">
        <v>307</v>
      </c>
      <c r="D85" s="58" t="s">
        <v>309</v>
      </c>
      <c r="E85" s="58" t="s">
        <v>215</v>
      </c>
      <c r="F85" s="58" t="s">
        <v>296</v>
      </c>
      <c r="G85" s="58" t="s">
        <v>198</v>
      </c>
      <c r="H85" s="58" t="s">
        <v>236</v>
      </c>
      <c r="I85" s="58" t="s">
        <v>560</v>
      </c>
      <c r="J85" s="58" t="b">
        <f>COUNTIFS('3 Horários e seleção'!$H$6:$H$170,"☑",'3 Horários e seleção'!$J$6:$J$170,C85)&gt;0</f>
        <v>0</v>
      </c>
    </row>
    <row r="86" spans="1:10" ht="14.25" customHeight="1">
      <c r="A86" s="58">
        <v>64</v>
      </c>
      <c r="B86" s="58">
        <v>4</v>
      </c>
      <c r="C86" s="58" t="s">
        <v>307</v>
      </c>
      <c r="D86" s="58" t="s">
        <v>309</v>
      </c>
      <c r="E86" s="58" t="s">
        <v>215</v>
      </c>
      <c r="F86" s="58" t="s">
        <v>296</v>
      </c>
      <c r="G86" s="58" t="s">
        <v>198</v>
      </c>
      <c r="H86" s="58" t="s">
        <v>237</v>
      </c>
      <c r="I86" s="58" t="s">
        <v>560</v>
      </c>
      <c r="J86" s="58" t="b">
        <f>COUNTIFS('3 Horários e seleção'!$H$6:$H$170,"☑",'3 Horários e seleção'!$J$6:$J$170,C86)&gt;0</f>
        <v>0</v>
      </c>
    </row>
    <row r="87" spans="1:10" ht="14.25" customHeight="1">
      <c r="A87" s="58">
        <v>64</v>
      </c>
      <c r="B87" s="58">
        <v>4</v>
      </c>
      <c r="C87" s="58" t="s">
        <v>307</v>
      </c>
      <c r="D87" s="58" t="s">
        <v>309</v>
      </c>
      <c r="E87" s="58" t="s">
        <v>215</v>
      </c>
      <c r="F87" s="58" t="s">
        <v>296</v>
      </c>
      <c r="G87" s="58" t="s">
        <v>198</v>
      </c>
      <c r="H87" s="58" t="s">
        <v>238</v>
      </c>
      <c r="I87" s="58" t="s">
        <v>560</v>
      </c>
      <c r="J87" s="58" t="b">
        <f>COUNTIFS('3 Horários e seleção'!$H$6:$H$170,"☑",'3 Horários e seleção'!$J$6:$J$170,C87)&gt;0</f>
        <v>0</v>
      </c>
    </row>
    <row r="88" spans="1:10" ht="14.25" customHeight="1">
      <c r="A88" s="58">
        <v>64</v>
      </c>
      <c r="B88" s="58">
        <v>4</v>
      </c>
      <c r="C88" s="58" t="s">
        <v>307</v>
      </c>
      <c r="D88" s="58" t="s">
        <v>309</v>
      </c>
      <c r="E88" s="58" t="s">
        <v>215</v>
      </c>
      <c r="F88" s="58" t="s">
        <v>296</v>
      </c>
      <c r="G88" s="58" t="s">
        <v>198</v>
      </c>
      <c r="H88" s="58" t="s">
        <v>239</v>
      </c>
      <c r="I88" s="58" t="s">
        <v>560</v>
      </c>
      <c r="J88" s="58" t="b">
        <f>COUNTIFS('3 Horários e seleção'!$H$6:$H$170,"☑",'3 Horários e seleção'!$J$6:$J$170,C88)&gt;0</f>
        <v>0</v>
      </c>
    </row>
    <row r="89" spans="1:10" ht="14.25" customHeight="1">
      <c r="A89" s="58">
        <v>25</v>
      </c>
      <c r="B89" s="58">
        <v>4</v>
      </c>
      <c r="C89" s="58" t="s">
        <v>289</v>
      </c>
      <c r="D89" s="58" t="s">
        <v>303</v>
      </c>
      <c r="E89" s="58" t="s">
        <v>302</v>
      </c>
      <c r="F89" s="58" t="s">
        <v>258</v>
      </c>
      <c r="G89" s="58" t="s">
        <v>199</v>
      </c>
      <c r="H89" s="58" t="s">
        <v>208</v>
      </c>
      <c r="I89" s="58" t="s">
        <v>561</v>
      </c>
      <c r="J89" s="58" t="b">
        <f>COUNTIFS('3 Horários e seleção'!$H$6:$H$170,"☑",'3 Horários e seleção'!$J$6:$J$170,C89)&gt;0</f>
        <v>0</v>
      </c>
    </row>
    <row r="90" spans="1:10" ht="14.25" customHeight="1">
      <c r="A90" s="58">
        <v>25</v>
      </c>
      <c r="B90" s="58">
        <v>4</v>
      </c>
      <c r="C90" s="58" t="s">
        <v>289</v>
      </c>
      <c r="D90" s="58" t="s">
        <v>303</v>
      </c>
      <c r="E90" s="58" t="s">
        <v>302</v>
      </c>
      <c r="F90" s="58" t="s">
        <v>258</v>
      </c>
      <c r="G90" s="58" t="s">
        <v>199</v>
      </c>
      <c r="H90" s="58" t="s">
        <v>217</v>
      </c>
      <c r="I90" s="58" t="s">
        <v>561</v>
      </c>
      <c r="J90" s="58" t="b">
        <f>COUNTIFS('3 Horários e seleção'!$H$6:$H$170,"☑",'3 Horários e seleção'!$J$6:$J$170,C90)&gt;0</f>
        <v>0</v>
      </c>
    </row>
    <row r="91" spans="1:10" ht="14.25" customHeight="1">
      <c r="A91" s="58">
        <v>23</v>
      </c>
      <c r="B91" s="58">
        <v>4</v>
      </c>
      <c r="C91" s="58" t="s">
        <v>297</v>
      </c>
      <c r="D91" s="58" t="s">
        <v>298</v>
      </c>
      <c r="E91" s="58" t="s">
        <v>295</v>
      </c>
      <c r="F91" s="58" t="s">
        <v>299</v>
      </c>
      <c r="G91" s="58" t="s">
        <v>199</v>
      </c>
      <c r="H91" s="58" t="s">
        <v>228</v>
      </c>
      <c r="I91" s="58" t="s">
        <v>562</v>
      </c>
      <c r="J91" s="58" t="b">
        <f>COUNTIFS('3 Horários e seleção'!$H$6:$H$170,"☑",'3 Horários e seleção'!$J$6:$J$170,C91)&gt;0</f>
        <v>0</v>
      </c>
    </row>
    <row r="92" spans="1:10" ht="14.25" customHeight="1">
      <c r="A92" s="58">
        <v>23</v>
      </c>
      <c r="B92" s="58">
        <v>4</v>
      </c>
      <c r="C92" s="58" t="s">
        <v>297</v>
      </c>
      <c r="D92" s="58" t="s">
        <v>298</v>
      </c>
      <c r="E92" s="58" t="s">
        <v>295</v>
      </c>
      <c r="F92" s="58" t="s">
        <v>299</v>
      </c>
      <c r="G92" s="58" t="s">
        <v>199</v>
      </c>
      <c r="H92" s="58" t="s">
        <v>232</v>
      </c>
      <c r="I92" s="58" t="s">
        <v>562</v>
      </c>
      <c r="J92" s="58" t="b">
        <f>COUNTIFS('3 Horários e seleção'!$H$6:$H$170,"☑",'3 Horários e seleção'!$J$6:$J$170,C92)&gt;0</f>
        <v>0</v>
      </c>
    </row>
    <row r="93" spans="1:10" ht="14.25" customHeight="1">
      <c r="A93" s="58">
        <v>24</v>
      </c>
      <c r="B93" s="58">
        <v>4</v>
      </c>
      <c r="C93" s="58" t="s">
        <v>290</v>
      </c>
      <c r="D93" s="58" t="s">
        <v>301</v>
      </c>
      <c r="E93" s="58" t="s">
        <v>302</v>
      </c>
      <c r="F93" s="58" t="s">
        <v>296</v>
      </c>
      <c r="G93" s="58" t="s">
        <v>200</v>
      </c>
      <c r="H93" s="58" t="s">
        <v>208</v>
      </c>
      <c r="I93" s="58" t="s">
        <v>563</v>
      </c>
      <c r="J93" s="58" t="b">
        <f>COUNTIFS('3 Horários e seleção'!$H$6:$H$170,"☑",'3 Horários e seleção'!$J$6:$J$170,C93)&gt;0</f>
        <v>0</v>
      </c>
    </row>
    <row r="94" spans="1:10" ht="14.25" customHeight="1">
      <c r="A94" s="58">
        <v>24</v>
      </c>
      <c r="B94" s="58">
        <v>4</v>
      </c>
      <c r="C94" s="58" t="s">
        <v>290</v>
      </c>
      <c r="D94" s="58" t="s">
        <v>301</v>
      </c>
      <c r="E94" s="58" t="s">
        <v>302</v>
      </c>
      <c r="F94" s="58" t="s">
        <v>296</v>
      </c>
      <c r="G94" s="58" t="s">
        <v>200</v>
      </c>
      <c r="H94" s="58" t="s">
        <v>217</v>
      </c>
      <c r="I94" s="58" t="s">
        <v>563</v>
      </c>
      <c r="J94" s="58" t="b">
        <f>COUNTIFS('3 Horários e seleção'!$H$6:$H$170,"☑",'3 Horários e seleção'!$J$6:$J$170,C94)&gt;0</f>
        <v>0</v>
      </c>
    </row>
    <row r="95" spans="1:10" ht="14.25" customHeight="1">
      <c r="A95" s="58">
        <v>28</v>
      </c>
      <c r="B95" s="58">
        <v>4</v>
      </c>
      <c r="C95" s="58" t="s">
        <v>300</v>
      </c>
      <c r="D95" s="58" t="s">
        <v>308</v>
      </c>
      <c r="E95" s="58" t="s">
        <v>274</v>
      </c>
      <c r="F95" s="58" t="s">
        <v>296</v>
      </c>
      <c r="G95" s="58" t="s">
        <v>200</v>
      </c>
      <c r="H95" s="58" t="s">
        <v>220</v>
      </c>
      <c r="I95" s="58" t="s">
        <v>558</v>
      </c>
      <c r="J95" s="58" t="b">
        <f>COUNTIFS('3 Horários e seleção'!$H$6:$H$170,"☑",'3 Horários e seleção'!$J$6:$J$170,C95)&gt;0</f>
        <v>0</v>
      </c>
    </row>
    <row r="96" spans="1:10" ht="14.25" customHeight="1">
      <c r="A96" s="58">
        <v>28</v>
      </c>
      <c r="B96" s="58">
        <v>4</v>
      </c>
      <c r="C96" s="58" t="s">
        <v>300</v>
      </c>
      <c r="D96" s="58" t="s">
        <v>308</v>
      </c>
      <c r="E96" s="58" t="s">
        <v>274</v>
      </c>
      <c r="F96" s="58" t="s">
        <v>296</v>
      </c>
      <c r="G96" s="58" t="s">
        <v>200</v>
      </c>
      <c r="H96" s="58" t="s">
        <v>225</v>
      </c>
      <c r="I96" s="58" t="s">
        <v>558</v>
      </c>
      <c r="J96" s="58" t="b">
        <f>COUNTIFS('3 Horários e seleção'!$H$6:$H$170,"☑",'3 Horários e seleção'!$J$6:$J$170,C96)&gt;0</f>
        <v>0</v>
      </c>
    </row>
    <row r="97" spans="1:10" ht="14.25" customHeight="1">
      <c r="A97" s="58">
        <v>27</v>
      </c>
      <c r="B97" s="58">
        <v>4</v>
      </c>
      <c r="C97" s="58" t="s">
        <v>292</v>
      </c>
      <c r="D97" s="58" t="s">
        <v>306</v>
      </c>
      <c r="E97" s="58" t="s">
        <v>284</v>
      </c>
      <c r="F97" s="58" t="s">
        <v>296</v>
      </c>
      <c r="G97" s="58" t="s">
        <v>200</v>
      </c>
      <c r="H97" s="58" t="s">
        <v>228</v>
      </c>
      <c r="I97" s="58" t="s">
        <v>564</v>
      </c>
      <c r="J97" s="58" t="b">
        <f>COUNTIFS('3 Horários e seleção'!$H$6:$H$170,"☑",'3 Horários e seleção'!$J$6:$J$170,C97)&gt;0</f>
        <v>0</v>
      </c>
    </row>
    <row r="98" spans="1:10" ht="14.25" customHeight="1">
      <c r="A98" s="58">
        <v>27</v>
      </c>
      <c r="B98" s="58">
        <v>4</v>
      </c>
      <c r="C98" s="58" t="s">
        <v>292</v>
      </c>
      <c r="D98" s="58" t="s">
        <v>306</v>
      </c>
      <c r="E98" s="58" t="s">
        <v>284</v>
      </c>
      <c r="F98" s="58" t="s">
        <v>296</v>
      </c>
      <c r="G98" s="58" t="s">
        <v>200</v>
      </c>
      <c r="H98" s="58" t="s">
        <v>232</v>
      </c>
      <c r="I98" s="58" t="s">
        <v>564</v>
      </c>
      <c r="J98" s="58" t="b">
        <f>COUNTIFS('3 Horários e seleção'!$H$6:$H$170,"☑",'3 Horários e seleção'!$J$6:$J$170,C98)&gt;0</f>
        <v>0</v>
      </c>
    </row>
    <row r="99" spans="1:10" ht="14.25" customHeight="1">
      <c r="A99" s="58">
        <v>26</v>
      </c>
      <c r="B99" s="58">
        <v>4</v>
      </c>
      <c r="C99" s="58" t="s">
        <v>291</v>
      </c>
      <c r="D99" s="58" t="s">
        <v>304</v>
      </c>
      <c r="E99" s="58" t="s">
        <v>305</v>
      </c>
      <c r="F99" s="58" t="s">
        <v>296</v>
      </c>
      <c r="G99" s="58" t="s">
        <v>201</v>
      </c>
      <c r="H99" s="58" t="s">
        <v>208</v>
      </c>
      <c r="I99" s="58" t="s">
        <v>565</v>
      </c>
      <c r="J99" s="58" t="b">
        <f>COUNTIFS('3 Horários e seleção'!$H$6:$H$170,"☑",'3 Horários e seleção'!$J$6:$J$170,C99)&gt;0</f>
        <v>0</v>
      </c>
    </row>
    <row r="100" spans="1:10" ht="14.25" customHeight="1">
      <c r="A100" s="58">
        <v>26</v>
      </c>
      <c r="B100" s="58">
        <v>4</v>
      </c>
      <c r="C100" s="58" t="s">
        <v>291</v>
      </c>
      <c r="D100" s="58" t="s">
        <v>304</v>
      </c>
      <c r="E100" s="58" t="s">
        <v>305</v>
      </c>
      <c r="F100" s="58" t="s">
        <v>296</v>
      </c>
      <c r="G100" s="58" t="s">
        <v>201</v>
      </c>
      <c r="H100" s="58" t="s">
        <v>217</v>
      </c>
      <c r="I100" s="58" t="s">
        <v>565</v>
      </c>
      <c r="J100" s="58" t="b">
        <f>COUNTIFS('3 Horários e seleção'!$H$6:$H$170,"☑",'3 Horários e seleção'!$J$6:$J$170,C100)&gt;0</f>
        <v>0</v>
      </c>
    </row>
    <row r="101" spans="1:10" ht="14.25" customHeight="1">
      <c r="A101" s="58">
        <v>24</v>
      </c>
      <c r="B101" s="58">
        <v>4</v>
      </c>
      <c r="C101" s="58" t="s">
        <v>290</v>
      </c>
      <c r="D101" s="58" t="s">
        <v>301</v>
      </c>
      <c r="E101" s="58" t="s">
        <v>302</v>
      </c>
      <c r="F101" s="58" t="s">
        <v>296</v>
      </c>
      <c r="G101" s="58" t="s">
        <v>201</v>
      </c>
      <c r="H101" s="58" t="s">
        <v>220</v>
      </c>
      <c r="I101" s="58" t="s">
        <v>563</v>
      </c>
      <c r="J101" s="58" t="b">
        <f>COUNTIFS('3 Horários e seleção'!$H$6:$H$170,"☑",'3 Horários e seleção'!$J$6:$J$170,C101)&gt;0</f>
        <v>0</v>
      </c>
    </row>
    <row r="102" spans="1:10" ht="14.25" customHeight="1">
      <c r="A102" s="58">
        <v>24</v>
      </c>
      <c r="B102" s="58">
        <v>4</v>
      </c>
      <c r="C102" s="58" t="s">
        <v>290</v>
      </c>
      <c r="D102" s="58" t="s">
        <v>301</v>
      </c>
      <c r="E102" s="58" t="s">
        <v>302</v>
      </c>
      <c r="F102" s="58" t="s">
        <v>296</v>
      </c>
      <c r="G102" s="58" t="s">
        <v>201</v>
      </c>
      <c r="H102" s="58" t="s">
        <v>225</v>
      </c>
      <c r="I102" s="58" t="s">
        <v>563</v>
      </c>
      <c r="J102" s="58" t="b">
        <f>COUNTIFS('3 Horários e seleção'!$H$6:$H$170,"☑",'3 Horários e seleção'!$J$6:$J$170,C102)&gt;0</f>
        <v>0</v>
      </c>
    </row>
    <row r="103" spans="1:10" ht="14.25" customHeight="1">
      <c r="A103" s="58">
        <v>27</v>
      </c>
      <c r="B103" s="58">
        <v>4</v>
      </c>
      <c r="C103" s="58" t="s">
        <v>292</v>
      </c>
      <c r="D103" s="58" t="s">
        <v>306</v>
      </c>
      <c r="E103" s="58" t="s">
        <v>284</v>
      </c>
      <c r="F103" s="58" t="s">
        <v>296</v>
      </c>
      <c r="G103" s="58" t="s">
        <v>202</v>
      </c>
      <c r="H103" s="58" t="s">
        <v>208</v>
      </c>
      <c r="I103" s="58" t="s">
        <v>564</v>
      </c>
      <c r="J103" s="58" t="b">
        <f>COUNTIFS('3 Horários e seleção'!$H$6:$H$170,"☑",'3 Horários e seleção'!$J$6:$J$170,C103)&gt;0</f>
        <v>0</v>
      </c>
    </row>
    <row r="104" spans="1:10" ht="14.25" customHeight="1">
      <c r="A104" s="58">
        <v>27</v>
      </c>
      <c r="B104" s="58">
        <v>4</v>
      </c>
      <c r="C104" s="58" t="s">
        <v>292</v>
      </c>
      <c r="D104" s="58" t="s">
        <v>306</v>
      </c>
      <c r="E104" s="58" t="s">
        <v>284</v>
      </c>
      <c r="F104" s="58" t="s">
        <v>296</v>
      </c>
      <c r="G104" s="58" t="s">
        <v>202</v>
      </c>
      <c r="H104" s="58" t="s">
        <v>217</v>
      </c>
      <c r="I104" s="58" t="s">
        <v>564</v>
      </c>
      <c r="J104" s="58" t="b">
        <f>COUNTIFS('3 Horários e seleção'!$H$6:$H$170,"☑",'3 Horários e seleção'!$J$6:$J$170,C104)&gt;0</f>
        <v>0</v>
      </c>
    </row>
    <row r="105" spans="1:10" ht="14.25" customHeight="1">
      <c r="A105" s="58">
        <v>22</v>
      </c>
      <c r="B105" s="58">
        <v>4</v>
      </c>
      <c r="C105" s="58" t="s">
        <v>293</v>
      </c>
      <c r="D105" s="58" t="s">
        <v>294</v>
      </c>
      <c r="E105" s="58" t="s">
        <v>295</v>
      </c>
      <c r="F105" s="58" t="s">
        <v>296</v>
      </c>
      <c r="G105" s="58" t="s">
        <v>202</v>
      </c>
      <c r="H105" s="58" t="s">
        <v>220</v>
      </c>
      <c r="I105" s="58" t="s">
        <v>559</v>
      </c>
      <c r="J105" s="58" t="b">
        <f>COUNTIFS('3 Horários e seleção'!$H$6:$H$170,"☑",'3 Horários e seleção'!$J$6:$J$170,C105)&gt;0</f>
        <v>0</v>
      </c>
    </row>
    <row r="106" spans="1:10" ht="14.25" customHeight="1">
      <c r="A106" s="58">
        <v>22</v>
      </c>
      <c r="B106" s="58">
        <v>4</v>
      </c>
      <c r="C106" s="58" t="s">
        <v>293</v>
      </c>
      <c r="D106" s="58" t="s">
        <v>294</v>
      </c>
      <c r="E106" s="58" t="s">
        <v>295</v>
      </c>
      <c r="F106" s="58" t="s">
        <v>296</v>
      </c>
      <c r="G106" s="58" t="s">
        <v>202</v>
      </c>
      <c r="H106" s="58" t="s">
        <v>225</v>
      </c>
      <c r="I106" s="58" t="s">
        <v>559</v>
      </c>
      <c r="J106" s="58" t="b">
        <f>COUNTIFS('3 Horários e seleção'!$H$6:$H$170,"☑",'3 Horários e seleção'!$J$6:$J$170,C106)&gt;0</f>
        <v>0</v>
      </c>
    </row>
    <row r="107" spans="1:10" ht="14.25" customHeight="1">
      <c r="A107" s="58">
        <v>26</v>
      </c>
      <c r="B107" s="58">
        <v>4</v>
      </c>
      <c r="C107" s="58" t="s">
        <v>291</v>
      </c>
      <c r="D107" s="58" t="s">
        <v>304</v>
      </c>
      <c r="E107" s="58" t="s">
        <v>305</v>
      </c>
      <c r="F107" s="58" t="s">
        <v>296</v>
      </c>
      <c r="G107" s="58" t="s">
        <v>202</v>
      </c>
      <c r="H107" s="58" t="s">
        <v>228</v>
      </c>
      <c r="I107" s="58" t="s">
        <v>565</v>
      </c>
      <c r="J107" s="58" t="b">
        <f>COUNTIFS('3 Horários e seleção'!$H$6:$H$170,"☑",'3 Horários e seleção'!$J$6:$J$170,C107)&gt;0</f>
        <v>0</v>
      </c>
    </row>
    <row r="108" spans="1:10" ht="14.25" customHeight="1">
      <c r="A108" s="58">
        <v>26</v>
      </c>
      <c r="B108" s="58">
        <v>4</v>
      </c>
      <c r="C108" s="58" t="s">
        <v>291</v>
      </c>
      <c r="D108" s="58" t="s">
        <v>304</v>
      </c>
      <c r="E108" s="58" t="s">
        <v>305</v>
      </c>
      <c r="F108" s="58" t="s">
        <v>296</v>
      </c>
      <c r="G108" s="58" t="s">
        <v>202</v>
      </c>
      <c r="H108" s="58" t="s">
        <v>232</v>
      </c>
      <c r="I108" s="58" t="s">
        <v>565</v>
      </c>
      <c r="J108" s="58" t="b">
        <f>COUNTIFS('3 Horários e seleção'!$H$6:$H$170,"☑",'3 Horários e seleção'!$J$6:$J$170,C108)&gt;0</f>
        <v>0</v>
      </c>
    </row>
    <row r="109" spans="1:10" ht="14.25" customHeight="1">
      <c r="A109" s="58">
        <v>29</v>
      </c>
      <c r="B109" s="58">
        <v>5</v>
      </c>
      <c r="C109" s="58" t="s">
        <v>315</v>
      </c>
      <c r="D109" s="58" t="s">
        <v>316</v>
      </c>
      <c r="E109" s="58" t="s">
        <v>295</v>
      </c>
      <c r="F109" s="58" t="s">
        <v>317</v>
      </c>
      <c r="G109" s="58" t="s">
        <v>198</v>
      </c>
      <c r="H109" s="58" t="s">
        <v>220</v>
      </c>
      <c r="I109" s="58" t="s">
        <v>566</v>
      </c>
      <c r="J109" s="58" t="b">
        <f>COUNTIFS('3 Horários e seleção'!$H$6:$H$170,"☑",'3 Horários e seleção'!$J$6:$J$170,C109)&gt;0</f>
        <v>0</v>
      </c>
    </row>
    <row r="110" spans="1:10" ht="14.25" customHeight="1">
      <c r="A110" s="58">
        <v>29</v>
      </c>
      <c r="B110" s="58">
        <v>5</v>
      </c>
      <c r="C110" s="58" t="s">
        <v>315</v>
      </c>
      <c r="D110" s="58" t="s">
        <v>316</v>
      </c>
      <c r="E110" s="58" t="s">
        <v>295</v>
      </c>
      <c r="F110" s="58" t="s">
        <v>317</v>
      </c>
      <c r="G110" s="58" t="s">
        <v>198</v>
      </c>
      <c r="H110" s="58" t="s">
        <v>225</v>
      </c>
      <c r="I110" s="58" t="s">
        <v>566</v>
      </c>
      <c r="J110" s="58" t="b">
        <f>COUNTIFS('3 Horários e seleção'!$H$6:$H$170,"☑",'3 Horários e seleção'!$J$6:$J$170,C110)&gt;0</f>
        <v>0</v>
      </c>
    </row>
    <row r="111" spans="1:10" ht="14.25" customHeight="1">
      <c r="A111" s="58">
        <v>65</v>
      </c>
      <c r="B111" s="58">
        <v>5</v>
      </c>
      <c r="C111" s="58" t="s">
        <v>328</v>
      </c>
      <c r="D111" s="58" t="s">
        <v>332</v>
      </c>
      <c r="E111" s="58" t="s">
        <v>274</v>
      </c>
      <c r="F111" s="58" t="s">
        <v>317</v>
      </c>
      <c r="G111" s="58" t="s">
        <v>198</v>
      </c>
      <c r="H111" s="58" t="s">
        <v>236</v>
      </c>
      <c r="I111" s="58" t="s">
        <v>567</v>
      </c>
      <c r="J111" s="58" t="b">
        <f>COUNTIFS('3 Horários e seleção'!$H$6:$H$170,"☑",'3 Horários e seleção'!$J$6:$J$170,C111)&gt;0</f>
        <v>0</v>
      </c>
    </row>
    <row r="112" spans="1:10" ht="14.25" customHeight="1">
      <c r="A112" s="58">
        <v>65</v>
      </c>
      <c r="B112" s="58">
        <v>5</v>
      </c>
      <c r="C112" s="58" t="s">
        <v>328</v>
      </c>
      <c r="D112" s="58" t="s">
        <v>332</v>
      </c>
      <c r="E112" s="58" t="s">
        <v>274</v>
      </c>
      <c r="F112" s="58" t="s">
        <v>317</v>
      </c>
      <c r="G112" s="58" t="s">
        <v>198</v>
      </c>
      <c r="H112" s="58" t="s">
        <v>237</v>
      </c>
      <c r="I112" s="58" t="s">
        <v>567</v>
      </c>
      <c r="J112" s="58" t="b">
        <f>COUNTIFS('3 Horários e seleção'!$H$6:$H$170,"☑",'3 Horários e seleção'!$J$6:$J$170,C112)&gt;0</f>
        <v>0</v>
      </c>
    </row>
    <row r="113" spans="1:10" ht="14.25" customHeight="1">
      <c r="A113" s="58">
        <v>65</v>
      </c>
      <c r="B113" s="58">
        <v>5</v>
      </c>
      <c r="C113" s="58" t="s">
        <v>328</v>
      </c>
      <c r="D113" s="58" t="s">
        <v>332</v>
      </c>
      <c r="E113" s="58" t="s">
        <v>274</v>
      </c>
      <c r="F113" s="58" t="s">
        <v>317</v>
      </c>
      <c r="G113" s="58" t="s">
        <v>198</v>
      </c>
      <c r="H113" s="58" t="s">
        <v>238</v>
      </c>
      <c r="I113" s="58" t="s">
        <v>567</v>
      </c>
      <c r="J113" s="58" t="b">
        <f>COUNTIFS('3 Horários e seleção'!$H$6:$H$170,"☑",'3 Horários e seleção'!$J$6:$J$170,C113)&gt;0</f>
        <v>0</v>
      </c>
    </row>
    <row r="114" spans="1:10" ht="14.25" customHeight="1">
      <c r="A114" s="58">
        <v>65</v>
      </c>
      <c r="B114" s="58">
        <v>5</v>
      </c>
      <c r="C114" s="58" t="s">
        <v>328</v>
      </c>
      <c r="D114" s="58" t="s">
        <v>332</v>
      </c>
      <c r="E114" s="58" t="s">
        <v>274</v>
      </c>
      <c r="F114" s="58" t="s">
        <v>317</v>
      </c>
      <c r="G114" s="58" t="s">
        <v>198</v>
      </c>
      <c r="H114" s="58" t="s">
        <v>239</v>
      </c>
      <c r="I114" s="58" t="s">
        <v>567</v>
      </c>
      <c r="J114" s="58" t="b">
        <f>COUNTIFS('3 Horários e seleção'!$H$6:$H$170,"☑",'3 Horários e seleção'!$J$6:$J$170,C114)&gt;0</f>
        <v>0</v>
      </c>
    </row>
    <row r="115" spans="1:10" ht="14.25" customHeight="1">
      <c r="A115" s="58">
        <v>36</v>
      </c>
      <c r="B115" s="58">
        <v>5</v>
      </c>
      <c r="C115" s="58" t="s">
        <v>311</v>
      </c>
      <c r="D115" s="58" t="s">
        <v>330</v>
      </c>
      <c r="E115" s="58" t="s">
        <v>331</v>
      </c>
      <c r="F115" s="58" t="s">
        <v>317</v>
      </c>
      <c r="G115" s="58" t="s">
        <v>199</v>
      </c>
      <c r="H115" s="58" t="s">
        <v>208</v>
      </c>
      <c r="I115" s="58" t="s">
        <v>568</v>
      </c>
      <c r="J115" s="58" t="b">
        <f>COUNTIFS('3 Horários e seleção'!$H$6:$H$170,"☑",'3 Horários e seleção'!$J$6:$J$170,C115)&gt;0</f>
        <v>0</v>
      </c>
    </row>
    <row r="116" spans="1:10" ht="14.25" customHeight="1">
      <c r="A116" s="58">
        <v>36</v>
      </c>
      <c r="B116" s="58">
        <v>5</v>
      </c>
      <c r="C116" s="58" t="s">
        <v>311</v>
      </c>
      <c r="D116" s="58" t="s">
        <v>330</v>
      </c>
      <c r="E116" s="58" t="s">
        <v>331</v>
      </c>
      <c r="F116" s="58" t="s">
        <v>317</v>
      </c>
      <c r="G116" s="58" t="s">
        <v>199</v>
      </c>
      <c r="H116" s="58" t="s">
        <v>217</v>
      </c>
      <c r="I116" s="58" t="s">
        <v>568</v>
      </c>
      <c r="J116" s="58" t="b">
        <f>COUNTIFS('3 Horários e seleção'!$H$6:$H$170,"☑",'3 Horários e seleção'!$J$6:$J$170,C116)&gt;0</f>
        <v>0</v>
      </c>
    </row>
    <row r="117" spans="1:10" ht="14.25" customHeight="1">
      <c r="A117" s="58">
        <v>33</v>
      </c>
      <c r="B117" s="58">
        <v>5</v>
      </c>
      <c r="C117" s="58" t="s">
        <v>320</v>
      </c>
      <c r="D117" s="58" t="s">
        <v>325</v>
      </c>
      <c r="E117" s="58" t="s">
        <v>305</v>
      </c>
      <c r="F117" s="58" t="s">
        <v>326</v>
      </c>
      <c r="G117" s="58" t="s">
        <v>199</v>
      </c>
      <c r="H117" s="58" t="s">
        <v>220</v>
      </c>
      <c r="I117" s="58" t="s">
        <v>569</v>
      </c>
      <c r="J117" s="58" t="b">
        <f>COUNTIFS('3 Horários e seleção'!$H$6:$H$170,"☑",'3 Horários e seleção'!$J$6:$J$170,C117)&gt;0</f>
        <v>0</v>
      </c>
    </row>
    <row r="118" spans="1:10" ht="14.25" customHeight="1">
      <c r="A118" s="58">
        <v>33</v>
      </c>
      <c r="B118" s="58">
        <v>5</v>
      </c>
      <c r="C118" s="58" t="s">
        <v>320</v>
      </c>
      <c r="D118" s="58" t="s">
        <v>325</v>
      </c>
      <c r="E118" s="58" t="s">
        <v>305</v>
      </c>
      <c r="F118" s="58" t="s">
        <v>326</v>
      </c>
      <c r="G118" s="58" t="s">
        <v>199</v>
      </c>
      <c r="H118" s="58" t="s">
        <v>225</v>
      </c>
      <c r="I118" s="58" t="s">
        <v>569</v>
      </c>
      <c r="J118" s="58" t="b">
        <f>COUNTIFS('3 Horários e seleção'!$H$6:$H$170,"☑",'3 Horários e seleção'!$J$6:$J$170,C118)&gt;0</f>
        <v>0</v>
      </c>
    </row>
    <row r="119" spans="1:10" ht="14.25" customHeight="1">
      <c r="A119" s="58">
        <v>34</v>
      </c>
      <c r="B119" s="58">
        <v>5</v>
      </c>
      <c r="C119" s="58" t="s">
        <v>314</v>
      </c>
      <c r="D119" s="58" t="s">
        <v>327</v>
      </c>
      <c r="E119" s="58" t="s">
        <v>274</v>
      </c>
      <c r="F119" s="58" t="s">
        <v>299</v>
      </c>
      <c r="G119" s="58" t="s">
        <v>199</v>
      </c>
      <c r="H119" s="58" t="s">
        <v>228</v>
      </c>
      <c r="I119" s="58" t="s">
        <v>570</v>
      </c>
      <c r="J119" s="58" t="b">
        <f>COUNTIFS('3 Horários e seleção'!$H$6:$H$170,"☑",'3 Horários e seleção'!$J$6:$J$170,C119)&gt;0</f>
        <v>0</v>
      </c>
    </row>
    <row r="120" spans="1:10" ht="14.25" customHeight="1">
      <c r="A120" s="58">
        <v>34</v>
      </c>
      <c r="B120" s="58">
        <v>5</v>
      </c>
      <c r="C120" s="58" t="s">
        <v>314</v>
      </c>
      <c r="D120" s="58" t="s">
        <v>327</v>
      </c>
      <c r="E120" s="58" t="s">
        <v>274</v>
      </c>
      <c r="F120" s="58" t="s">
        <v>299</v>
      </c>
      <c r="G120" s="58" t="s">
        <v>199</v>
      </c>
      <c r="H120" s="58" t="s">
        <v>232</v>
      </c>
      <c r="I120" s="58" t="s">
        <v>570</v>
      </c>
      <c r="J120" s="58" t="b">
        <f>COUNTIFS('3 Horários e seleção'!$H$6:$H$170,"☑",'3 Horários e seleção'!$J$6:$J$170,C120)&gt;0</f>
        <v>0</v>
      </c>
    </row>
    <row r="121" spans="1:10" ht="14.25" customHeight="1">
      <c r="A121" s="58">
        <v>32</v>
      </c>
      <c r="B121" s="58">
        <v>5</v>
      </c>
      <c r="C121" s="58" t="s">
        <v>312</v>
      </c>
      <c r="D121" s="58" t="s">
        <v>324</v>
      </c>
      <c r="E121" s="58" t="s">
        <v>323</v>
      </c>
      <c r="F121" s="58" t="s">
        <v>299</v>
      </c>
      <c r="G121" s="58" t="s">
        <v>200</v>
      </c>
      <c r="H121" s="58" t="s">
        <v>208</v>
      </c>
      <c r="I121" s="58" t="s">
        <v>571</v>
      </c>
      <c r="J121" s="58" t="b">
        <f>COUNTIFS('3 Horários e seleção'!$H$6:$H$170,"☑",'3 Horários e seleção'!$J$6:$J$170,C121)&gt;0</f>
        <v>0</v>
      </c>
    </row>
    <row r="122" spans="1:10" ht="14.25" customHeight="1">
      <c r="A122" s="58">
        <v>32</v>
      </c>
      <c r="B122" s="58">
        <v>5</v>
      </c>
      <c r="C122" s="58" t="s">
        <v>312</v>
      </c>
      <c r="D122" s="58" t="s">
        <v>324</v>
      </c>
      <c r="E122" s="58" t="s">
        <v>323</v>
      </c>
      <c r="F122" s="58" t="s">
        <v>299</v>
      </c>
      <c r="G122" s="58" t="s">
        <v>200</v>
      </c>
      <c r="H122" s="58" t="s">
        <v>217</v>
      </c>
      <c r="I122" s="58" t="s">
        <v>571</v>
      </c>
      <c r="J122" s="58" t="b">
        <f>COUNTIFS('3 Horários e seleção'!$H$6:$H$170,"☑",'3 Horários e seleção'!$J$6:$J$170,C122)&gt;0</f>
        <v>0</v>
      </c>
    </row>
    <row r="123" spans="1:10" ht="14.25" customHeight="1">
      <c r="A123" s="58">
        <v>30</v>
      </c>
      <c r="B123" s="58">
        <v>5</v>
      </c>
      <c r="C123" s="58" t="s">
        <v>318</v>
      </c>
      <c r="D123" s="58" t="s">
        <v>319</v>
      </c>
      <c r="E123" s="58" t="s">
        <v>295</v>
      </c>
      <c r="F123" s="58" t="s">
        <v>299</v>
      </c>
      <c r="G123" s="58" t="s">
        <v>200</v>
      </c>
      <c r="H123" s="58" t="s">
        <v>220</v>
      </c>
      <c r="I123" s="58" t="s">
        <v>572</v>
      </c>
      <c r="J123" s="58" t="b">
        <f>COUNTIFS('3 Horários e seleção'!$H$6:$H$170,"☑",'3 Horários e seleção'!$J$6:$J$170,C123)&gt;0</f>
        <v>0</v>
      </c>
    </row>
    <row r="124" spans="1:10" ht="14.25" customHeight="1">
      <c r="A124" s="58">
        <v>30</v>
      </c>
      <c r="B124" s="58">
        <v>5</v>
      </c>
      <c r="C124" s="58" t="s">
        <v>318</v>
      </c>
      <c r="D124" s="58" t="s">
        <v>319</v>
      </c>
      <c r="E124" s="58" t="s">
        <v>295</v>
      </c>
      <c r="F124" s="58" t="s">
        <v>299</v>
      </c>
      <c r="G124" s="58" t="s">
        <v>200</v>
      </c>
      <c r="H124" s="58" t="s">
        <v>225</v>
      </c>
      <c r="I124" s="58" t="s">
        <v>572</v>
      </c>
      <c r="J124" s="58" t="b">
        <f>COUNTIFS('3 Horários e seleção'!$H$6:$H$170,"☑",'3 Horários e seleção'!$J$6:$J$170,C124)&gt;0</f>
        <v>0</v>
      </c>
    </row>
    <row r="125" spans="1:10" ht="14.25" customHeight="1">
      <c r="A125" s="58">
        <v>31</v>
      </c>
      <c r="B125" s="58">
        <v>5</v>
      </c>
      <c r="C125" s="58" t="s">
        <v>313</v>
      </c>
      <c r="D125" s="58" t="s">
        <v>322</v>
      </c>
      <c r="E125" s="58" t="s">
        <v>323</v>
      </c>
      <c r="F125" s="58" t="s">
        <v>317</v>
      </c>
      <c r="G125" s="58" t="s">
        <v>201</v>
      </c>
      <c r="H125" s="58" t="s">
        <v>208</v>
      </c>
      <c r="I125" s="58" t="s">
        <v>573</v>
      </c>
      <c r="J125" s="58" t="b">
        <f>COUNTIFS('3 Horários e seleção'!$H$6:$H$170,"☑",'3 Horários e seleção'!$J$6:$J$170,C125)&gt;0</f>
        <v>0</v>
      </c>
    </row>
    <row r="126" spans="1:10" ht="14.25" customHeight="1">
      <c r="A126" s="58">
        <v>31</v>
      </c>
      <c r="B126" s="58">
        <v>5</v>
      </c>
      <c r="C126" s="58" t="s">
        <v>313</v>
      </c>
      <c r="D126" s="58" t="s">
        <v>322</v>
      </c>
      <c r="E126" s="58" t="s">
        <v>323</v>
      </c>
      <c r="F126" s="58" t="s">
        <v>317</v>
      </c>
      <c r="G126" s="58" t="s">
        <v>201</v>
      </c>
      <c r="H126" s="58" t="s">
        <v>217</v>
      </c>
      <c r="I126" s="58" t="s">
        <v>573</v>
      </c>
      <c r="J126" s="58" t="b">
        <f>COUNTIFS('3 Horários e seleção'!$H$6:$H$170,"☑",'3 Horários e seleção'!$J$6:$J$170,C126)&gt;0</f>
        <v>0</v>
      </c>
    </row>
    <row r="127" spans="1:10" ht="14.25" customHeight="1">
      <c r="A127" s="58">
        <v>35</v>
      </c>
      <c r="B127" s="58">
        <v>5</v>
      </c>
      <c r="C127" s="58" t="s">
        <v>321</v>
      </c>
      <c r="D127" s="58" t="s">
        <v>329</v>
      </c>
      <c r="E127" s="58" t="s">
        <v>246</v>
      </c>
      <c r="F127" s="58" t="s">
        <v>317</v>
      </c>
      <c r="G127" s="58" t="s">
        <v>201</v>
      </c>
      <c r="H127" s="58" t="s">
        <v>220</v>
      </c>
      <c r="I127" s="58" t="s">
        <v>574</v>
      </c>
      <c r="J127" s="58" t="b">
        <f>COUNTIFS('3 Horários e seleção'!$H$6:$H$170,"☑",'3 Horários e seleção'!$J$6:$J$170,C127)&gt;0</f>
        <v>0</v>
      </c>
    </row>
    <row r="128" spans="1:10" ht="14.25" customHeight="1">
      <c r="A128" s="58">
        <v>35</v>
      </c>
      <c r="B128" s="58">
        <v>5</v>
      </c>
      <c r="C128" s="58" t="s">
        <v>321</v>
      </c>
      <c r="D128" s="58" t="s">
        <v>329</v>
      </c>
      <c r="E128" s="58" t="s">
        <v>246</v>
      </c>
      <c r="F128" s="58" t="s">
        <v>317</v>
      </c>
      <c r="G128" s="58" t="s">
        <v>201</v>
      </c>
      <c r="H128" s="58" t="s">
        <v>225</v>
      </c>
      <c r="I128" s="58" t="s">
        <v>574</v>
      </c>
      <c r="J128" s="58" t="b">
        <f>COUNTIFS('3 Horários e seleção'!$H$6:$H$170,"☑",'3 Horários e seleção'!$J$6:$J$170,C128)&gt;0</f>
        <v>0</v>
      </c>
    </row>
    <row r="129" spans="1:10" ht="14.25" customHeight="1">
      <c r="A129" s="58">
        <v>33</v>
      </c>
      <c r="B129" s="58">
        <v>5</v>
      </c>
      <c r="C129" s="58" t="s">
        <v>320</v>
      </c>
      <c r="D129" s="58" t="s">
        <v>325</v>
      </c>
      <c r="E129" s="58" t="s">
        <v>305</v>
      </c>
      <c r="F129" s="58" t="s">
        <v>326</v>
      </c>
      <c r="G129" s="58" t="s">
        <v>201</v>
      </c>
      <c r="H129" s="58" t="s">
        <v>228</v>
      </c>
      <c r="I129" s="58" t="s">
        <v>569</v>
      </c>
      <c r="J129" s="58" t="b">
        <f>COUNTIFS('3 Horários e seleção'!$H$6:$H$170,"☑",'3 Horários e seleção'!$J$6:$J$170,C129)&gt;0</f>
        <v>0</v>
      </c>
    </row>
    <row r="130" spans="1:10" ht="14.25" customHeight="1">
      <c r="A130" s="58">
        <v>33</v>
      </c>
      <c r="B130" s="58">
        <v>5</v>
      </c>
      <c r="C130" s="58" t="s">
        <v>320</v>
      </c>
      <c r="D130" s="58" t="s">
        <v>325</v>
      </c>
      <c r="E130" s="58" t="s">
        <v>305</v>
      </c>
      <c r="F130" s="58" t="s">
        <v>326</v>
      </c>
      <c r="G130" s="58" t="s">
        <v>201</v>
      </c>
      <c r="H130" s="58" t="s">
        <v>232</v>
      </c>
      <c r="I130" s="58" t="s">
        <v>569</v>
      </c>
      <c r="J130" s="58" t="b">
        <f>COUNTIFS('3 Horários e seleção'!$H$6:$H$170,"☑",'3 Horários e seleção'!$J$6:$J$170,C130)&gt;0</f>
        <v>0</v>
      </c>
    </row>
    <row r="131" spans="1:10" ht="14.25" customHeight="1">
      <c r="A131" s="58">
        <v>34</v>
      </c>
      <c r="B131" s="58">
        <v>5</v>
      </c>
      <c r="C131" s="58" t="s">
        <v>314</v>
      </c>
      <c r="D131" s="58" t="s">
        <v>327</v>
      </c>
      <c r="E131" s="58" t="s">
        <v>274</v>
      </c>
      <c r="F131" s="58" t="s">
        <v>299</v>
      </c>
      <c r="G131" s="58" t="s">
        <v>202</v>
      </c>
      <c r="H131" s="58" t="s">
        <v>208</v>
      </c>
      <c r="I131" s="58" t="s">
        <v>570</v>
      </c>
      <c r="J131" s="58" t="b">
        <f>COUNTIFS('3 Horários e seleção'!$H$6:$H$170,"☑",'3 Horários e seleção'!$J$6:$J$170,C131)&gt;0</f>
        <v>0</v>
      </c>
    </row>
    <row r="132" spans="1:10" ht="14.25" customHeight="1">
      <c r="A132" s="58">
        <v>34</v>
      </c>
      <c r="B132" s="58">
        <v>5</v>
      </c>
      <c r="C132" s="58" t="s">
        <v>314</v>
      </c>
      <c r="D132" s="58" t="s">
        <v>327</v>
      </c>
      <c r="E132" s="58" t="s">
        <v>274</v>
      </c>
      <c r="F132" s="58" t="s">
        <v>299</v>
      </c>
      <c r="G132" s="58" t="s">
        <v>202</v>
      </c>
      <c r="H132" s="58" t="s">
        <v>217</v>
      </c>
      <c r="I132" s="58" t="s">
        <v>570</v>
      </c>
      <c r="J132" s="58" t="b">
        <f>COUNTIFS('3 Horários e seleção'!$H$6:$H$170,"☑",'3 Horários e seleção'!$J$6:$J$170,C132)&gt;0</f>
        <v>0</v>
      </c>
    </row>
    <row r="133" spans="1:10" ht="14.25" customHeight="1">
      <c r="A133" s="58">
        <v>38</v>
      </c>
      <c r="B133" s="58">
        <v>6</v>
      </c>
      <c r="C133" s="58" t="s">
        <v>334</v>
      </c>
      <c r="D133" s="58" t="s">
        <v>341</v>
      </c>
      <c r="E133" s="58" t="s">
        <v>264</v>
      </c>
      <c r="F133" s="58" t="s">
        <v>235</v>
      </c>
      <c r="G133" s="58" t="s">
        <v>198</v>
      </c>
      <c r="H133" s="58" t="s">
        <v>208</v>
      </c>
      <c r="I133" s="58" t="s">
        <v>575</v>
      </c>
      <c r="J133" s="58" t="b">
        <f>COUNTIFS('3 Horários e seleção'!$H$6:$H$170,"☑",'3 Horários e seleção'!$J$6:$J$170,C133)&gt;0</f>
        <v>0</v>
      </c>
    </row>
    <row r="134" spans="1:10" ht="14.25" customHeight="1">
      <c r="A134" s="58">
        <v>38</v>
      </c>
      <c r="B134" s="58">
        <v>6</v>
      </c>
      <c r="C134" s="58" t="s">
        <v>334</v>
      </c>
      <c r="D134" s="58" t="s">
        <v>341</v>
      </c>
      <c r="E134" s="58" t="s">
        <v>264</v>
      </c>
      <c r="F134" s="58" t="s">
        <v>235</v>
      </c>
      <c r="G134" s="58" t="s">
        <v>198</v>
      </c>
      <c r="H134" s="58" t="s">
        <v>217</v>
      </c>
      <c r="I134" s="58" t="s">
        <v>575</v>
      </c>
      <c r="J134" s="58" t="b">
        <f>COUNTIFS('3 Horários e seleção'!$H$6:$H$170,"☑",'3 Horários e seleção'!$J$6:$J$170,C134)&gt;0</f>
        <v>0</v>
      </c>
    </row>
    <row r="135" spans="1:10" ht="14.25" customHeight="1">
      <c r="A135" s="58">
        <v>38</v>
      </c>
      <c r="B135" s="58">
        <v>6</v>
      </c>
      <c r="C135" s="58" t="s">
        <v>334</v>
      </c>
      <c r="D135" s="58" t="s">
        <v>341</v>
      </c>
      <c r="E135" s="58" t="s">
        <v>264</v>
      </c>
      <c r="F135" s="58" t="s">
        <v>235</v>
      </c>
      <c r="G135" s="58" t="s">
        <v>198</v>
      </c>
      <c r="H135" s="58" t="s">
        <v>220</v>
      </c>
      <c r="I135" s="58" t="s">
        <v>575</v>
      </c>
      <c r="J135" s="58" t="b">
        <f>COUNTIFS('3 Horários e seleção'!$H$6:$H$170,"☑",'3 Horários e seleção'!$J$6:$J$170,C135)&gt;0</f>
        <v>0</v>
      </c>
    </row>
    <row r="136" spans="1:10" ht="14.25" customHeight="1">
      <c r="A136" s="58">
        <v>38</v>
      </c>
      <c r="B136" s="58">
        <v>6</v>
      </c>
      <c r="C136" s="58" t="s">
        <v>334</v>
      </c>
      <c r="D136" s="58" t="s">
        <v>341</v>
      </c>
      <c r="E136" s="58" t="s">
        <v>264</v>
      </c>
      <c r="F136" s="58" t="s">
        <v>235</v>
      </c>
      <c r="G136" s="58" t="s">
        <v>198</v>
      </c>
      <c r="H136" s="58" t="s">
        <v>225</v>
      </c>
      <c r="I136" s="58" t="s">
        <v>575</v>
      </c>
      <c r="J136" s="58" t="b">
        <f>COUNTIFS('3 Horários e seleção'!$H$6:$H$170,"☑",'3 Horários e seleção'!$J$6:$J$170,C136)&gt;0</f>
        <v>0</v>
      </c>
    </row>
    <row r="137" spans="1:10" ht="14.25" customHeight="1">
      <c r="A137" s="58">
        <v>40</v>
      </c>
      <c r="B137" s="58">
        <v>6</v>
      </c>
      <c r="C137" s="58" t="s">
        <v>336</v>
      </c>
      <c r="D137" s="58" t="s">
        <v>344</v>
      </c>
      <c r="E137" s="58" t="s">
        <v>345</v>
      </c>
      <c r="F137" s="58" t="s">
        <v>326</v>
      </c>
      <c r="G137" s="58" t="s">
        <v>198</v>
      </c>
      <c r="H137" s="58" t="s">
        <v>228</v>
      </c>
      <c r="I137" s="58" t="s">
        <v>576</v>
      </c>
      <c r="J137" s="58" t="b">
        <f>COUNTIFS('3 Horários e seleção'!$H$6:$H$170,"☑",'3 Horários e seleção'!$J$6:$J$170,C137)&gt;0</f>
        <v>0</v>
      </c>
    </row>
    <row r="138" spans="1:10" ht="14.25" customHeight="1">
      <c r="A138" s="58">
        <v>40</v>
      </c>
      <c r="B138" s="58">
        <v>6</v>
      </c>
      <c r="C138" s="58" t="s">
        <v>336</v>
      </c>
      <c r="D138" s="58" t="s">
        <v>344</v>
      </c>
      <c r="E138" s="58" t="s">
        <v>345</v>
      </c>
      <c r="F138" s="58" t="s">
        <v>326</v>
      </c>
      <c r="G138" s="58" t="s">
        <v>198</v>
      </c>
      <c r="H138" s="58" t="s">
        <v>232</v>
      </c>
      <c r="I138" s="58" t="s">
        <v>576</v>
      </c>
      <c r="J138" s="58" t="b">
        <f>COUNTIFS('3 Horários e seleção'!$H$6:$H$170,"☑",'3 Horários e seleção'!$J$6:$J$170,C138)&gt;0</f>
        <v>0</v>
      </c>
    </row>
    <row r="139" spans="1:10" ht="14.25" customHeight="1">
      <c r="A139" s="58">
        <v>66</v>
      </c>
      <c r="B139" s="58">
        <v>6</v>
      </c>
      <c r="C139" s="58" t="s">
        <v>349</v>
      </c>
      <c r="D139" s="58" t="s">
        <v>351</v>
      </c>
      <c r="E139" s="58" t="s">
        <v>345</v>
      </c>
      <c r="F139" s="58" t="s">
        <v>347</v>
      </c>
      <c r="G139" s="58" t="s">
        <v>198</v>
      </c>
      <c r="H139" s="58" t="s">
        <v>236</v>
      </c>
      <c r="I139" s="58" t="s">
        <v>577</v>
      </c>
      <c r="J139" s="58" t="b">
        <f>COUNTIFS('3 Horários e seleção'!$H$6:$H$170,"☑",'3 Horários e seleção'!$J$6:$J$170,C139)&gt;0</f>
        <v>0</v>
      </c>
    </row>
    <row r="140" spans="1:10" ht="14.25" customHeight="1">
      <c r="A140" s="58">
        <v>66</v>
      </c>
      <c r="B140" s="58">
        <v>6</v>
      </c>
      <c r="C140" s="58" t="s">
        <v>349</v>
      </c>
      <c r="D140" s="58" t="s">
        <v>351</v>
      </c>
      <c r="E140" s="58" t="s">
        <v>345</v>
      </c>
      <c r="F140" s="58" t="s">
        <v>347</v>
      </c>
      <c r="G140" s="58" t="s">
        <v>198</v>
      </c>
      <c r="H140" s="58" t="s">
        <v>237</v>
      </c>
      <c r="I140" s="58" t="s">
        <v>577</v>
      </c>
      <c r="J140" s="58" t="b">
        <f>COUNTIFS('3 Horários e seleção'!$H$6:$H$170,"☑",'3 Horários e seleção'!$J$6:$J$170,C140)&gt;0</f>
        <v>0</v>
      </c>
    </row>
    <row r="141" spans="1:10" ht="14.25" customHeight="1">
      <c r="A141" s="58">
        <v>66</v>
      </c>
      <c r="B141" s="58">
        <v>6</v>
      </c>
      <c r="C141" s="58" t="s">
        <v>349</v>
      </c>
      <c r="D141" s="58" t="s">
        <v>351</v>
      </c>
      <c r="E141" s="58" t="s">
        <v>345</v>
      </c>
      <c r="F141" s="58" t="s">
        <v>347</v>
      </c>
      <c r="G141" s="58" t="s">
        <v>198</v>
      </c>
      <c r="H141" s="58" t="s">
        <v>238</v>
      </c>
      <c r="I141" s="58" t="s">
        <v>577</v>
      </c>
      <c r="J141" s="58" t="b">
        <f>COUNTIFS('3 Horários e seleção'!$H$6:$H$170,"☑",'3 Horários e seleção'!$J$6:$J$170,C141)&gt;0</f>
        <v>0</v>
      </c>
    </row>
    <row r="142" spans="1:10" ht="14.25" customHeight="1">
      <c r="A142" s="58">
        <v>66</v>
      </c>
      <c r="B142" s="58">
        <v>6</v>
      </c>
      <c r="C142" s="58" t="s">
        <v>349</v>
      </c>
      <c r="D142" s="58" t="s">
        <v>351</v>
      </c>
      <c r="E142" s="58" t="s">
        <v>345</v>
      </c>
      <c r="F142" s="58" t="s">
        <v>347</v>
      </c>
      <c r="G142" s="58" t="s">
        <v>198</v>
      </c>
      <c r="H142" s="58" t="s">
        <v>239</v>
      </c>
      <c r="I142" s="58" t="s">
        <v>577</v>
      </c>
      <c r="J142" s="58" t="b">
        <f>COUNTIFS('3 Horários e seleção'!$H$6:$H$170,"☑",'3 Horários e seleção'!$J$6:$J$170,C142)&gt;0</f>
        <v>0</v>
      </c>
    </row>
    <row r="143" spans="1:10" ht="14.25" customHeight="1">
      <c r="A143" s="58">
        <v>41</v>
      </c>
      <c r="B143" s="58">
        <v>6</v>
      </c>
      <c r="C143" s="58" t="s">
        <v>339</v>
      </c>
      <c r="D143" s="58" t="s">
        <v>346</v>
      </c>
      <c r="E143" s="58" t="s">
        <v>246</v>
      </c>
      <c r="F143" s="58" t="s">
        <v>347</v>
      </c>
      <c r="G143" s="58" t="s">
        <v>199</v>
      </c>
      <c r="H143" s="58" t="s">
        <v>217</v>
      </c>
      <c r="I143" s="58" t="s">
        <v>578</v>
      </c>
      <c r="J143" s="58" t="b">
        <f>COUNTIFS('3 Horários e seleção'!$H$6:$H$170,"☑",'3 Horários e seleção'!$J$6:$J$170,C143)&gt;0</f>
        <v>0</v>
      </c>
    </row>
    <row r="144" spans="1:10" ht="14.25" customHeight="1">
      <c r="A144" s="58">
        <v>41</v>
      </c>
      <c r="B144" s="58">
        <v>6</v>
      </c>
      <c r="C144" s="58" t="s">
        <v>339</v>
      </c>
      <c r="D144" s="58" t="s">
        <v>346</v>
      </c>
      <c r="E144" s="58" t="s">
        <v>246</v>
      </c>
      <c r="F144" s="58" t="s">
        <v>347</v>
      </c>
      <c r="G144" s="58" t="s">
        <v>199</v>
      </c>
      <c r="H144" s="58" t="s">
        <v>220</v>
      </c>
      <c r="I144" s="58" t="s">
        <v>578</v>
      </c>
      <c r="J144" s="58" t="b">
        <f>COUNTIFS('3 Horários e seleção'!$H$6:$H$170,"☑",'3 Horários e seleção'!$J$6:$J$170,C144)&gt;0</f>
        <v>0</v>
      </c>
    </row>
    <row r="145" spans="1:10" ht="14.25" customHeight="1">
      <c r="A145" s="58">
        <v>41</v>
      </c>
      <c r="B145" s="58">
        <v>6</v>
      </c>
      <c r="C145" s="58" t="s">
        <v>339</v>
      </c>
      <c r="D145" s="58" t="s">
        <v>346</v>
      </c>
      <c r="E145" s="58" t="s">
        <v>246</v>
      </c>
      <c r="F145" s="58" t="s">
        <v>347</v>
      </c>
      <c r="G145" s="58" t="s">
        <v>199</v>
      </c>
      <c r="H145" s="58" t="s">
        <v>225</v>
      </c>
      <c r="I145" s="58" t="s">
        <v>578</v>
      </c>
      <c r="J145" s="58" t="b">
        <f>COUNTIFS('3 Horários e seleção'!$H$6:$H$170,"☑",'3 Horários e seleção'!$J$6:$J$170,C145)&gt;0</f>
        <v>0</v>
      </c>
    </row>
    <row r="146" spans="1:10" ht="14.25" customHeight="1">
      <c r="A146" s="58">
        <v>43</v>
      </c>
      <c r="B146" s="58">
        <v>6</v>
      </c>
      <c r="C146" s="58" t="s">
        <v>335</v>
      </c>
      <c r="D146" s="58" t="s">
        <v>350</v>
      </c>
      <c r="E146" s="58" t="s">
        <v>331</v>
      </c>
      <c r="F146" s="58" t="s">
        <v>326</v>
      </c>
      <c r="G146" s="58" t="s">
        <v>200</v>
      </c>
      <c r="H146" s="58" t="s">
        <v>208</v>
      </c>
      <c r="I146" s="58" t="s">
        <v>579</v>
      </c>
      <c r="J146" s="58" t="b">
        <f>COUNTIFS('3 Horários e seleção'!$H$6:$H$170,"☑",'3 Horários e seleção'!$J$6:$J$170,C146)&gt;0</f>
        <v>0</v>
      </c>
    </row>
    <row r="147" spans="1:10" ht="14.25" customHeight="1">
      <c r="A147" s="58">
        <v>43</v>
      </c>
      <c r="B147" s="58">
        <v>6</v>
      </c>
      <c r="C147" s="58" t="s">
        <v>335</v>
      </c>
      <c r="D147" s="58" t="s">
        <v>350</v>
      </c>
      <c r="E147" s="58" t="s">
        <v>331</v>
      </c>
      <c r="F147" s="58" t="s">
        <v>326</v>
      </c>
      <c r="G147" s="58" t="s">
        <v>200</v>
      </c>
      <c r="H147" s="58" t="s">
        <v>217</v>
      </c>
      <c r="I147" s="58" t="s">
        <v>579</v>
      </c>
      <c r="J147" s="58" t="b">
        <f>COUNTIFS('3 Horários e seleção'!$H$6:$H$170,"☑",'3 Horários e seleção'!$J$6:$J$170,C147)&gt;0</f>
        <v>0</v>
      </c>
    </row>
    <row r="148" spans="1:10" ht="14.25" customHeight="1">
      <c r="A148" s="58">
        <v>39</v>
      </c>
      <c r="B148" s="58">
        <v>6</v>
      </c>
      <c r="C148" s="58" t="s">
        <v>342</v>
      </c>
      <c r="D148" s="58" t="s">
        <v>343</v>
      </c>
      <c r="E148" s="58" t="s">
        <v>331</v>
      </c>
      <c r="F148" s="58" t="s">
        <v>326</v>
      </c>
      <c r="G148" s="58" t="s">
        <v>200</v>
      </c>
      <c r="H148" s="58" t="s">
        <v>220</v>
      </c>
      <c r="I148" s="58" t="s">
        <v>580</v>
      </c>
      <c r="J148" s="58" t="b">
        <f>COUNTIFS('3 Horários e seleção'!$H$6:$H$170,"☑",'3 Horários e seleção'!$J$6:$J$170,C148)&gt;0</f>
        <v>0</v>
      </c>
    </row>
    <row r="149" spans="1:10" ht="14.25" customHeight="1">
      <c r="A149" s="58">
        <v>43</v>
      </c>
      <c r="B149" s="58">
        <v>6</v>
      </c>
      <c r="C149" s="58" t="s">
        <v>335</v>
      </c>
      <c r="D149" s="58" t="s">
        <v>350</v>
      </c>
      <c r="E149" s="58" t="s">
        <v>331</v>
      </c>
      <c r="F149" s="58" t="s">
        <v>326</v>
      </c>
      <c r="G149" s="58" t="s">
        <v>200</v>
      </c>
      <c r="H149" s="58" t="s">
        <v>225</v>
      </c>
      <c r="I149" s="58" t="s">
        <v>579</v>
      </c>
      <c r="J149" s="58" t="b">
        <f>COUNTIFS('3 Horários e seleção'!$H$6:$H$170,"☑",'3 Horários e seleção'!$J$6:$J$170,C149)&gt;0</f>
        <v>0</v>
      </c>
    </row>
    <row r="150" spans="1:10" ht="14.25" customHeight="1">
      <c r="A150" s="58">
        <v>40</v>
      </c>
      <c r="B150" s="58">
        <v>6</v>
      </c>
      <c r="C150" s="58" t="s">
        <v>336</v>
      </c>
      <c r="D150" s="58" t="s">
        <v>344</v>
      </c>
      <c r="E150" s="58" t="s">
        <v>345</v>
      </c>
      <c r="F150" s="58" t="s">
        <v>326</v>
      </c>
      <c r="G150" s="58" t="s">
        <v>201</v>
      </c>
      <c r="H150" s="58" t="s">
        <v>208</v>
      </c>
      <c r="I150" s="58" t="s">
        <v>576</v>
      </c>
      <c r="J150" s="58" t="b">
        <f>COUNTIFS('3 Horários e seleção'!$H$6:$H$170,"☑",'3 Horários e seleção'!$J$6:$J$170,C150)&gt;0</f>
        <v>0</v>
      </c>
    </row>
    <row r="151" spans="1:10" ht="14.25" customHeight="1">
      <c r="A151" s="58">
        <v>40</v>
      </c>
      <c r="B151" s="58">
        <v>6</v>
      </c>
      <c r="C151" s="58" t="s">
        <v>336</v>
      </c>
      <c r="D151" s="58" t="s">
        <v>344</v>
      </c>
      <c r="E151" s="58" t="s">
        <v>345</v>
      </c>
      <c r="F151" s="58" t="s">
        <v>326</v>
      </c>
      <c r="G151" s="58" t="s">
        <v>201</v>
      </c>
      <c r="H151" s="58" t="s">
        <v>217</v>
      </c>
      <c r="I151" s="58" t="s">
        <v>576</v>
      </c>
      <c r="J151" s="58" t="b">
        <f>COUNTIFS('3 Horários e seleção'!$H$6:$H$170,"☑",'3 Horários e seleção'!$J$6:$J$170,C151)&gt;0</f>
        <v>0</v>
      </c>
    </row>
    <row r="152" spans="1:10" ht="14.25" customHeight="1">
      <c r="A152" s="58">
        <v>40</v>
      </c>
      <c r="B152" s="58">
        <v>6</v>
      </c>
      <c r="C152" s="58" t="s">
        <v>336</v>
      </c>
      <c r="D152" s="58" t="s">
        <v>344</v>
      </c>
      <c r="E152" s="58" t="s">
        <v>345</v>
      </c>
      <c r="F152" s="58" t="s">
        <v>326</v>
      </c>
      <c r="G152" s="58" t="s">
        <v>201</v>
      </c>
      <c r="H152" s="58" t="s">
        <v>220</v>
      </c>
      <c r="I152" s="58" t="s">
        <v>576</v>
      </c>
      <c r="J152" s="58" t="b">
        <f>COUNTIFS('3 Horários e seleção'!$H$6:$H$170,"☑",'3 Horários e seleção'!$J$6:$J$170,C152)&gt;0</f>
        <v>0</v>
      </c>
    </row>
    <row r="153" spans="1:10" ht="14.25" customHeight="1">
      <c r="A153" s="58">
        <v>39</v>
      </c>
      <c r="B153" s="58">
        <v>6</v>
      </c>
      <c r="C153" s="58" t="s">
        <v>342</v>
      </c>
      <c r="D153" s="58" t="s">
        <v>343</v>
      </c>
      <c r="E153" s="58" t="s">
        <v>331</v>
      </c>
      <c r="F153" s="58" t="s">
        <v>326</v>
      </c>
      <c r="G153" s="58" t="s">
        <v>201</v>
      </c>
      <c r="H153" s="58" t="s">
        <v>225</v>
      </c>
      <c r="I153" s="58" t="s">
        <v>580</v>
      </c>
      <c r="J153" s="58" t="b">
        <f>COUNTIFS('3 Horários e seleção'!$H$6:$H$170,"☑",'3 Horários e seleção'!$J$6:$J$170,C153)&gt;0</f>
        <v>0</v>
      </c>
    </row>
    <row r="154" spans="1:10" ht="14.25" customHeight="1">
      <c r="A154" s="58">
        <v>39</v>
      </c>
      <c r="B154" s="58">
        <v>6</v>
      </c>
      <c r="C154" s="58" t="s">
        <v>342</v>
      </c>
      <c r="D154" s="58" t="s">
        <v>343</v>
      </c>
      <c r="E154" s="58" t="s">
        <v>331</v>
      </c>
      <c r="F154" s="58" t="s">
        <v>326</v>
      </c>
      <c r="G154" s="58" t="s">
        <v>201</v>
      </c>
      <c r="H154" s="58" t="s">
        <v>228</v>
      </c>
      <c r="I154" s="58" t="s">
        <v>580</v>
      </c>
      <c r="J154" s="58" t="b">
        <f>COUNTIFS('3 Horários e seleção'!$H$6:$H$170,"☑",'3 Horários e seleção'!$J$6:$J$170,C154)&gt;0</f>
        <v>0</v>
      </c>
    </row>
    <row r="155" spans="1:10" ht="14.25" customHeight="1">
      <c r="A155" s="58">
        <v>39</v>
      </c>
      <c r="B155" s="58">
        <v>6</v>
      </c>
      <c r="C155" s="58" t="s">
        <v>342</v>
      </c>
      <c r="D155" s="58" t="s">
        <v>343</v>
      </c>
      <c r="E155" s="58" t="s">
        <v>331</v>
      </c>
      <c r="F155" s="58" t="s">
        <v>326</v>
      </c>
      <c r="G155" s="58" t="s">
        <v>201</v>
      </c>
      <c r="H155" s="58" t="s">
        <v>232</v>
      </c>
      <c r="I155" s="58" t="s">
        <v>580</v>
      </c>
      <c r="J155" s="58" t="b">
        <f>COUNTIFS('3 Horários e seleção'!$H$6:$H$170,"☑",'3 Horários e seleção'!$J$6:$J$170,C155)&gt;0</f>
        <v>0</v>
      </c>
    </row>
    <row r="156" spans="1:10" ht="14.25" customHeight="1">
      <c r="A156" s="58">
        <v>42</v>
      </c>
      <c r="B156" s="58">
        <v>6</v>
      </c>
      <c r="C156" s="58" t="s">
        <v>340</v>
      </c>
      <c r="D156" s="58" t="s">
        <v>348</v>
      </c>
      <c r="E156" s="58" t="s">
        <v>246</v>
      </c>
      <c r="F156" s="58" t="s">
        <v>251</v>
      </c>
      <c r="G156" s="58" t="s">
        <v>202</v>
      </c>
      <c r="H156" s="58" t="s">
        <v>217</v>
      </c>
      <c r="I156" s="58" t="s">
        <v>581</v>
      </c>
      <c r="J156" s="58" t="b">
        <f>COUNTIFS('3 Horários e seleção'!$H$6:$H$170,"☑",'3 Horários e seleção'!$J$6:$J$170,C156)&gt;0</f>
        <v>0</v>
      </c>
    </row>
    <row r="157" spans="1:10" ht="14.25" customHeight="1">
      <c r="A157" s="58">
        <v>42</v>
      </c>
      <c r="B157" s="58">
        <v>6</v>
      </c>
      <c r="C157" s="58" t="s">
        <v>340</v>
      </c>
      <c r="D157" s="58" t="s">
        <v>348</v>
      </c>
      <c r="E157" s="58" t="s">
        <v>246</v>
      </c>
      <c r="F157" s="58" t="s">
        <v>251</v>
      </c>
      <c r="G157" s="58" t="s">
        <v>202</v>
      </c>
      <c r="H157" s="58" t="s">
        <v>220</v>
      </c>
      <c r="I157" s="58" t="s">
        <v>581</v>
      </c>
      <c r="J157" s="58" t="b">
        <f>COUNTIFS('3 Horários e seleção'!$H$6:$H$170,"☑",'3 Horários e seleção'!$J$6:$J$170,C157)&gt;0</f>
        <v>0</v>
      </c>
    </row>
    <row r="158" spans="1:10" ht="14.25" customHeight="1">
      <c r="A158" s="58">
        <v>37</v>
      </c>
      <c r="B158" s="58">
        <v>6</v>
      </c>
      <c r="C158" s="58" t="s">
        <v>337</v>
      </c>
      <c r="D158" s="58" t="s">
        <v>338</v>
      </c>
      <c r="E158" s="58" t="s">
        <v>323</v>
      </c>
      <c r="F158" s="58" t="s">
        <v>299</v>
      </c>
      <c r="G158" s="58" t="s">
        <v>202</v>
      </c>
      <c r="H158" s="58" t="s">
        <v>225</v>
      </c>
      <c r="I158" s="58" t="s">
        <v>582</v>
      </c>
      <c r="J158" s="58" t="b">
        <f>COUNTIFS('3 Horários e seleção'!$H$6:$H$170,"☑",'3 Horários e seleção'!$J$6:$J$170,C158)&gt;0</f>
        <v>0</v>
      </c>
    </row>
    <row r="159" spans="1:10" ht="14.25" customHeight="1">
      <c r="A159" s="58">
        <v>37</v>
      </c>
      <c r="B159" s="58">
        <v>6</v>
      </c>
      <c r="C159" s="58" t="s">
        <v>337</v>
      </c>
      <c r="D159" s="58" t="s">
        <v>338</v>
      </c>
      <c r="E159" s="58" t="s">
        <v>323</v>
      </c>
      <c r="F159" s="58" t="s">
        <v>299</v>
      </c>
      <c r="G159" s="58" t="s">
        <v>202</v>
      </c>
      <c r="H159" s="58" t="s">
        <v>228</v>
      </c>
      <c r="I159" s="58" t="s">
        <v>582</v>
      </c>
      <c r="J159" s="58" t="b">
        <f>COUNTIFS('3 Horários e seleção'!$H$6:$H$170,"☑",'3 Horários e seleção'!$J$6:$J$170,C159)&gt;0</f>
        <v>0</v>
      </c>
    </row>
    <row r="160" spans="1:10" ht="14.25" customHeight="1">
      <c r="A160" s="58">
        <v>37</v>
      </c>
      <c r="B160" s="58">
        <v>6</v>
      </c>
      <c r="C160" s="58" t="s">
        <v>337</v>
      </c>
      <c r="D160" s="58" t="s">
        <v>338</v>
      </c>
      <c r="E160" s="58" t="s">
        <v>323</v>
      </c>
      <c r="F160" s="58" t="s">
        <v>299</v>
      </c>
      <c r="G160" s="58" t="s">
        <v>202</v>
      </c>
      <c r="H160" s="58" t="s">
        <v>232</v>
      </c>
      <c r="I160" s="58" t="s">
        <v>582</v>
      </c>
      <c r="J160" s="58" t="b">
        <f>COUNTIFS('3 Horários e seleção'!$H$6:$H$170,"☑",'3 Horários e seleção'!$J$6:$J$170,C160)&gt;0</f>
        <v>0</v>
      </c>
    </row>
    <row r="161" spans="1:10" ht="14.25" customHeight="1">
      <c r="A161" s="58">
        <v>45</v>
      </c>
      <c r="B161" s="58">
        <v>7</v>
      </c>
      <c r="C161" s="58" t="s">
        <v>353</v>
      </c>
      <c r="D161" s="58" t="s">
        <v>357</v>
      </c>
      <c r="E161" s="58" t="s">
        <v>358</v>
      </c>
      <c r="F161" s="58" t="s">
        <v>359</v>
      </c>
      <c r="G161" s="58" t="s">
        <v>198</v>
      </c>
      <c r="H161" s="58" t="s">
        <v>208</v>
      </c>
      <c r="I161" s="58" t="s">
        <v>583</v>
      </c>
      <c r="J161" s="58" t="b">
        <f>COUNTIFS('3 Horários e seleção'!$H$6:$H$170,"☑",'3 Horários e seleção'!$J$6:$J$170,C161)&gt;0</f>
        <v>0</v>
      </c>
    </row>
    <row r="162" spans="1:10" ht="14.25" customHeight="1">
      <c r="A162" s="58">
        <v>45</v>
      </c>
      <c r="B162" s="58">
        <v>7</v>
      </c>
      <c r="C162" s="58" t="s">
        <v>353</v>
      </c>
      <c r="D162" s="58" t="s">
        <v>357</v>
      </c>
      <c r="E162" s="58" t="s">
        <v>358</v>
      </c>
      <c r="F162" s="58" t="s">
        <v>359</v>
      </c>
      <c r="G162" s="58" t="s">
        <v>198</v>
      </c>
      <c r="H162" s="58" t="s">
        <v>217</v>
      </c>
      <c r="I162" s="58" t="s">
        <v>583</v>
      </c>
      <c r="J162" s="58" t="b">
        <f>COUNTIFS('3 Horários e seleção'!$H$6:$H$170,"☑",'3 Horários e seleção'!$J$6:$J$170,C162)&gt;0</f>
        <v>0</v>
      </c>
    </row>
    <row r="163" spans="1:10" ht="14.25" customHeight="1">
      <c r="A163" s="58">
        <v>49</v>
      </c>
      <c r="B163" s="58">
        <v>7</v>
      </c>
      <c r="C163" s="58" t="s">
        <v>360</v>
      </c>
      <c r="D163" s="58" t="s">
        <v>366</v>
      </c>
      <c r="E163" s="58" t="s">
        <v>367</v>
      </c>
      <c r="F163" s="58" t="s">
        <v>326</v>
      </c>
      <c r="G163" s="58" t="s">
        <v>198</v>
      </c>
      <c r="H163" s="58" t="s">
        <v>220</v>
      </c>
      <c r="I163" s="58" t="s">
        <v>584</v>
      </c>
      <c r="J163" s="58" t="b">
        <f>COUNTIFS('3 Horários e seleção'!$H$6:$H$170,"☑",'3 Horários e seleção'!$J$6:$J$170,C163)&gt;0</f>
        <v>0</v>
      </c>
    </row>
    <row r="164" spans="1:10" ht="14.25" customHeight="1">
      <c r="A164" s="58">
        <v>49</v>
      </c>
      <c r="B164" s="58">
        <v>7</v>
      </c>
      <c r="C164" s="58" t="s">
        <v>360</v>
      </c>
      <c r="D164" s="58" t="s">
        <v>366</v>
      </c>
      <c r="E164" s="58" t="s">
        <v>367</v>
      </c>
      <c r="F164" s="58" t="s">
        <v>326</v>
      </c>
      <c r="G164" s="58" t="s">
        <v>198</v>
      </c>
      <c r="H164" s="58" t="s">
        <v>225</v>
      </c>
      <c r="I164" s="58" t="s">
        <v>584</v>
      </c>
      <c r="J164" s="58" t="b">
        <f>COUNTIFS('3 Horários e seleção'!$H$6:$H$170,"☑",'3 Horários e seleção'!$J$6:$J$170,C164)&gt;0</f>
        <v>0</v>
      </c>
    </row>
    <row r="165" spans="1:10" ht="14.25" customHeight="1">
      <c r="A165" s="58">
        <v>49</v>
      </c>
      <c r="B165" s="58">
        <v>7</v>
      </c>
      <c r="C165" s="58" t="s">
        <v>360</v>
      </c>
      <c r="D165" s="58" t="s">
        <v>366</v>
      </c>
      <c r="E165" s="58" t="s">
        <v>367</v>
      </c>
      <c r="F165" s="58" t="s">
        <v>326</v>
      </c>
      <c r="G165" s="58" t="s">
        <v>198</v>
      </c>
      <c r="H165" s="58" t="s">
        <v>228</v>
      </c>
      <c r="I165" s="58" t="s">
        <v>584</v>
      </c>
      <c r="J165" s="58" t="b">
        <f>COUNTIFS('3 Horários e seleção'!$H$6:$H$170,"☑",'3 Horários e seleção'!$J$6:$J$170,C165)&gt;0</f>
        <v>0</v>
      </c>
    </row>
    <row r="166" spans="1:10" ht="14.25" customHeight="1">
      <c r="A166" s="58">
        <v>49</v>
      </c>
      <c r="B166" s="58">
        <v>7</v>
      </c>
      <c r="C166" s="58" t="s">
        <v>360</v>
      </c>
      <c r="D166" s="58" t="s">
        <v>366</v>
      </c>
      <c r="E166" s="58" t="s">
        <v>367</v>
      </c>
      <c r="F166" s="58" t="s">
        <v>326</v>
      </c>
      <c r="G166" s="58" t="s">
        <v>198</v>
      </c>
      <c r="H166" s="58" t="s">
        <v>232</v>
      </c>
      <c r="I166" s="58" t="s">
        <v>584</v>
      </c>
      <c r="J166" s="58" t="b">
        <f>COUNTIFS('3 Horários e seleção'!$H$6:$H$170,"☑",'3 Horários e seleção'!$J$6:$J$170,C166)&gt;0</f>
        <v>0</v>
      </c>
    </row>
    <row r="167" spans="1:10" ht="14.25" customHeight="1">
      <c r="A167" s="58">
        <v>67</v>
      </c>
      <c r="B167" s="58">
        <v>7</v>
      </c>
      <c r="C167" s="58" t="s">
        <v>368</v>
      </c>
      <c r="D167" s="58" t="s">
        <v>369</v>
      </c>
      <c r="E167" s="58" t="s">
        <v>358</v>
      </c>
      <c r="F167" s="58" t="s">
        <v>359</v>
      </c>
      <c r="G167" s="58" t="s">
        <v>198</v>
      </c>
      <c r="H167" s="58" t="s">
        <v>236</v>
      </c>
      <c r="I167" s="58" t="s">
        <v>585</v>
      </c>
      <c r="J167" s="58" t="b">
        <f>COUNTIFS('3 Horários e seleção'!$H$6:$H$170,"☑",'3 Horários e seleção'!$J$6:$J$170,C167)&gt;0</f>
        <v>0</v>
      </c>
    </row>
    <row r="168" spans="1:10" ht="14.25" customHeight="1">
      <c r="A168" s="58">
        <v>67</v>
      </c>
      <c r="B168" s="58">
        <v>7</v>
      </c>
      <c r="C168" s="58" t="s">
        <v>368</v>
      </c>
      <c r="D168" s="58" t="s">
        <v>369</v>
      </c>
      <c r="E168" s="58" t="s">
        <v>358</v>
      </c>
      <c r="F168" s="58" t="s">
        <v>359</v>
      </c>
      <c r="G168" s="58" t="s">
        <v>198</v>
      </c>
      <c r="H168" s="58" t="s">
        <v>237</v>
      </c>
      <c r="I168" s="58" t="s">
        <v>585</v>
      </c>
      <c r="J168" s="58" t="b">
        <f>COUNTIFS('3 Horários e seleção'!$H$6:$H$170,"☑",'3 Horários e seleção'!$J$6:$J$170,C168)&gt;0</f>
        <v>0</v>
      </c>
    </row>
    <row r="169" spans="1:10" ht="14.25" customHeight="1">
      <c r="A169" s="58">
        <v>67</v>
      </c>
      <c r="B169" s="58">
        <v>7</v>
      </c>
      <c r="C169" s="58" t="s">
        <v>368</v>
      </c>
      <c r="D169" s="58" t="s">
        <v>369</v>
      </c>
      <c r="E169" s="58" t="s">
        <v>358</v>
      </c>
      <c r="F169" s="58" t="s">
        <v>359</v>
      </c>
      <c r="G169" s="58" t="s">
        <v>198</v>
      </c>
      <c r="H169" s="58" t="s">
        <v>238</v>
      </c>
      <c r="I169" s="58" t="s">
        <v>585</v>
      </c>
      <c r="J169" s="58" t="b">
        <f>COUNTIFS('3 Horários e seleção'!$H$6:$H$170,"☑",'3 Horários e seleção'!$J$6:$J$170,C169)&gt;0</f>
        <v>0</v>
      </c>
    </row>
    <row r="170" spans="1:10" ht="14.25" customHeight="1">
      <c r="A170" s="58">
        <v>67</v>
      </c>
      <c r="B170" s="58">
        <v>7</v>
      </c>
      <c r="C170" s="58" t="s">
        <v>368</v>
      </c>
      <c r="D170" s="58" t="s">
        <v>369</v>
      </c>
      <c r="E170" s="58" t="s">
        <v>358</v>
      </c>
      <c r="F170" s="58" t="s">
        <v>359</v>
      </c>
      <c r="G170" s="58" t="s">
        <v>198</v>
      </c>
      <c r="H170" s="58" t="s">
        <v>239</v>
      </c>
      <c r="I170" s="58" t="s">
        <v>585</v>
      </c>
      <c r="J170" s="58" t="b">
        <f>COUNTIFS('3 Horários e seleção'!$H$6:$H$170,"☑",'3 Horários e seleção'!$J$6:$J$170,C170)&gt;0</f>
        <v>0</v>
      </c>
    </row>
    <row r="171" spans="1:10" ht="14.25" customHeight="1">
      <c r="A171" s="58">
        <v>48</v>
      </c>
      <c r="B171" s="58">
        <v>7</v>
      </c>
      <c r="C171" s="58" t="s">
        <v>354</v>
      </c>
      <c r="D171" s="58" t="s">
        <v>365</v>
      </c>
      <c r="E171" s="58" t="s">
        <v>323</v>
      </c>
      <c r="F171" s="58" t="s">
        <v>326</v>
      </c>
      <c r="G171" s="58" t="s">
        <v>199</v>
      </c>
      <c r="H171" s="58" t="s">
        <v>208</v>
      </c>
      <c r="I171" s="58" t="s">
        <v>586</v>
      </c>
      <c r="J171" s="58" t="b">
        <f>COUNTIFS('3 Horários e seleção'!$H$6:$H$170,"☑",'3 Horários e seleção'!$J$6:$J$170,C171)&gt;0</f>
        <v>0</v>
      </c>
    </row>
    <row r="172" spans="1:10" ht="14.25" customHeight="1">
      <c r="A172" s="58">
        <v>48</v>
      </c>
      <c r="B172" s="58">
        <v>7</v>
      </c>
      <c r="C172" s="58" t="s">
        <v>354</v>
      </c>
      <c r="D172" s="58" t="s">
        <v>365</v>
      </c>
      <c r="E172" s="58" t="s">
        <v>323</v>
      </c>
      <c r="F172" s="58" t="s">
        <v>326</v>
      </c>
      <c r="G172" s="58" t="s">
        <v>199</v>
      </c>
      <c r="H172" s="58" t="s">
        <v>217</v>
      </c>
      <c r="I172" s="58" t="s">
        <v>586</v>
      </c>
      <c r="J172" s="58" t="b">
        <f>COUNTIFS('3 Horários e seleção'!$H$6:$H$170,"☑",'3 Horários e seleção'!$J$6:$J$170,C172)&gt;0</f>
        <v>0</v>
      </c>
    </row>
    <row r="173" spans="1:10" ht="14.25" customHeight="1">
      <c r="A173" s="58">
        <v>45</v>
      </c>
      <c r="B173" s="58">
        <v>7</v>
      </c>
      <c r="C173" s="58" t="s">
        <v>353</v>
      </c>
      <c r="D173" s="58" t="s">
        <v>357</v>
      </c>
      <c r="E173" s="58" t="s">
        <v>358</v>
      </c>
      <c r="F173" s="58" t="s">
        <v>359</v>
      </c>
      <c r="G173" s="58" t="s">
        <v>199</v>
      </c>
      <c r="H173" s="58" t="s">
        <v>220</v>
      </c>
      <c r="I173" s="58" t="s">
        <v>583</v>
      </c>
      <c r="J173" s="58" t="b">
        <f>COUNTIFS('3 Horários e seleção'!$H$6:$H$170,"☑",'3 Horários e seleção'!$J$6:$J$170,C173)&gt;0</f>
        <v>0</v>
      </c>
    </row>
    <row r="174" spans="1:10" ht="14.25" customHeight="1">
      <c r="A174" s="58">
        <v>45</v>
      </c>
      <c r="B174" s="58">
        <v>7</v>
      </c>
      <c r="C174" s="58" t="s">
        <v>353</v>
      </c>
      <c r="D174" s="58" t="s">
        <v>357</v>
      </c>
      <c r="E174" s="58" t="s">
        <v>358</v>
      </c>
      <c r="F174" s="58" t="s">
        <v>359</v>
      </c>
      <c r="G174" s="58" t="s">
        <v>199</v>
      </c>
      <c r="H174" s="58" t="s">
        <v>225</v>
      </c>
      <c r="I174" s="58" t="s">
        <v>583</v>
      </c>
      <c r="J174" s="58" t="b">
        <f>COUNTIFS('3 Horários e seleção'!$H$6:$H$170,"☑",'3 Horários e seleção'!$J$6:$J$170,C174)&gt;0</f>
        <v>0</v>
      </c>
    </row>
    <row r="175" spans="1:10" ht="14.25" customHeight="1">
      <c r="A175" s="58">
        <v>47</v>
      </c>
      <c r="B175" s="58">
        <v>7</v>
      </c>
      <c r="C175" s="58" t="s">
        <v>361</v>
      </c>
      <c r="D175" s="58" t="s">
        <v>364</v>
      </c>
      <c r="E175" s="58" t="s">
        <v>305</v>
      </c>
      <c r="F175" s="58" t="s">
        <v>326</v>
      </c>
      <c r="G175" s="58" t="s">
        <v>199</v>
      </c>
      <c r="H175" s="58" t="s">
        <v>228</v>
      </c>
      <c r="I175" s="58" t="s">
        <v>587</v>
      </c>
      <c r="J175" s="58" t="b">
        <f>COUNTIFS('3 Horários e seleção'!$H$6:$H$170,"☑",'3 Horários e seleção'!$J$6:$J$170,C175)&gt;0</f>
        <v>0</v>
      </c>
    </row>
    <row r="176" spans="1:10" ht="14.25" customHeight="1">
      <c r="A176" s="58">
        <v>47</v>
      </c>
      <c r="B176" s="58">
        <v>7</v>
      </c>
      <c r="C176" s="58" t="s">
        <v>361</v>
      </c>
      <c r="D176" s="58" t="s">
        <v>364</v>
      </c>
      <c r="E176" s="58" t="s">
        <v>305</v>
      </c>
      <c r="F176" s="58" t="s">
        <v>326</v>
      </c>
      <c r="G176" s="58" t="s">
        <v>199</v>
      </c>
      <c r="H176" s="58" t="s">
        <v>232</v>
      </c>
      <c r="I176" s="58" t="s">
        <v>587</v>
      </c>
      <c r="J176" s="58" t="b">
        <f>COUNTIFS('3 Horários e seleção'!$H$6:$H$170,"☑",'3 Horários e seleção'!$J$6:$J$170,C176)&gt;0</f>
        <v>0</v>
      </c>
    </row>
    <row r="177" spans="1:10" ht="14.25" customHeight="1">
      <c r="A177" s="58">
        <v>44</v>
      </c>
      <c r="B177" s="58">
        <v>7</v>
      </c>
      <c r="C177" s="58" t="s">
        <v>355</v>
      </c>
      <c r="D177" s="58" t="s">
        <v>356</v>
      </c>
      <c r="E177" s="58" t="s">
        <v>270</v>
      </c>
      <c r="F177" s="58" t="s">
        <v>299</v>
      </c>
      <c r="G177" s="58" t="s">
        <v>201</v>
      </c>
      <c r="H177" s="58" t="s">
        <v>208</v>
      </c>
      <c r="I177" s="58" t="s">
        <v>588</v>
      </c>
      <c r="J177" s="58" t="b">
        <f>COUNTIFS('3 Horários e seleção'!$H$6:$H$170,"☑",'3 Horários e seleção'!$J$6:$J$170,C177)&gt;0</f>
        <v>0</v>
      </c>
    </row>
    <row r="178" spans="1:10" ht="14.25" customHeight="1">
      <c r="A178" s="58">
        <v>44</v>
      </c>
      <c r="B178" s="58">
        <v>7</v>
      </c>
      <c r="C178" s="58" t="s">
        <v>355</v>
      </c>
      <c r="D178" s="58" t="s">
        <v>356</v>
      </c>
      <c r="E178" s="58" t="s">
        <v>270</v>
      </c>
      <c r="F178" s="58" t="s">
        <v>299</v>
      </c>
      <c r="G178" s="58" t="s">
        <v>201</v>
      </c>
      <c r="H178" s="58" t="s">
        <v>217</v>
      </c>
      <c r="I178" s="58" t="s">
        <v>588</v>
      </c>
      <c r="J178" s="58" t="b">
        <f>COUNTIFS('3 Horários e seleção'!$H$6:$H$170,"☑",'3 Horários e seleção'!$J$6:$J$170,C178)&gt;0</f>
        <v>0</v>
      </c>
    </row>
    <row r="179" spans="1:10" ht="14.25" customHeight="1">
      <c r="A179" s="58">
        <v>44</v>
      </c>
      <c r="B179" s="58">
        <v>7</v>
      </c>
      <c r="C179" s="58" t="s">
        <v>355</v>
      </c>
      <c r="D179" s="58" t="s">
        <v>356</v>
      </c>
      <c r="E179" s="58" t="s">
        <v>270</v>
      </c>
      <c r="F179" s="58" t="s">
        <v>299</v>
      </c>
      <c r="G179" s="58" t="s">
        <v>201</v>
      </c>
      <c r="H179" s="58" t="s">
        <v>220</v>
      </c>
      <c r="I179" s="58" t="s">
        <v>588</v>
      </c>
      <c r="J179" s="58" t="b">
        <f>COUNTIFS('3 Horários e seleção'!$H$6:$H$170,"☑",'3 Horários e seleção'!$J$6:$J$170,C179)&gt;0</f>
        <v>0</v>
      </c>
    </row>
    <row r="180" spans="1:10" ht="14.25" customHeight="1">
      <c r="A180" s="58">
        <v>46</v>
      </c>
      <c r="B180" s="58">
        <v>7</v>
      </c>
      <c r="C180" s="58" t="s">
        <v>362</v>
      </c>
      <c r="D180" s="58" t="s">
        <v>363</v>
      </c>
      <c r="E180" s="58" t="s">
        <v>215</v>
      </c>
      <c r="F180" s="58" t="s">
        <v>359</v>
      </c>
      <c r="G180" s="58" t="s">
        <v>201</v>
      </c>
      <c r="H180" s="58" t="s">
        <v>228</v>
      </c>
      <c r="I180" s="58" t="s">
        <v>589</v>
      </c>
      <c r="J180" s="58" t="b">
        <f>COUNTIFS('3 Horários e seleção'!$H$6:$H$170,"☑",'3 Horários e seleção'!$J$6:$J$170,C180)&gt;0</f>
        <v>0</v>
      </c>
    </row>
    <row r="181" spans="1:10" ht="14.25" customHeight="1">
      <c r="A181" s="58">
        <v>46</v>
      </c>
      <c r="B181" s="58">
        <v>7</v>
      </c>
      <c r="C181" s="58" t="s">
        <v>362</v>
      </c>
      <c r="D181" s="58" t="s">
        <v>363</v>
      </c>
      <c r="E181" s="58" t="s">
        <v>215</v>
      </c>
      <c r="F181" s="58" t="s">
        <v>359</v>
      </c>
      <c r="G181" s="58" t="s">
        <v>201</v>
      </c>
      <c r="H181" s="58" t="s">
        <v>232</v>
      </c>
      <c r="I181" s="58" t="s">
        <v>589</v>
      </c>
      <c r="J181" s="58" t="b">
        <f>COUNTIFS('3 Horários e seleção'!$H$6:$H$170,"☑",'3 Horários e seleção'!$J$6:$J$170,C181)&gt;0</f>
        <v>0</v>
      </c>
    </row>
    <row r="182" spans="1:10" ht="14.25" customHeight="1">
      <c r="A182" s="58">
        <v>48</v>
      </c>
      <c r="B182" s="58">
        <v>7</v>
      </c>
      <c r="C182" s="58" t="s">
        <v>354</v>
      </c>
      <c r="D182" s="58" t="s">
        <v>365</v>
      </c>
      <c r="E182" s="58" t="s">
        <v>323</v>
      </c>
      <c r="F182" s="58" t="s">
        <v>326</v>
      </c>
      <c r="G182" s="58" t="s">
        <v>202</v>
      </c>
      <c r="H182" s="58" t="s">
        <v>208</v>
      </c>
      <c r="I182" s="58" t="s">
        <v>586</v>
      </c>
      <c r="J182" s="58" t="b">
        <f>COUNTIFS('3 Horários e seleção'!$H$6:$H$170,"☑",'3 Horários e seleção'!$J$6:$J$170,C182)&gt;0</f>
        <v>0</v>
      </c>
    </row>
    <row r="183" spans="1:10" ht="14.25" customHeight="1">
      <c r="A183" s="58">
        <v>48</v>
      </c>
      <c r="B183" s="58">
        <v>7</v>
      </c>
      <c r="C183" s="58" t="s">
        <v>354</v>
      </c>
      <c r="D183" s="58" t="s">
        <v>365</v>
      </c>
      <c r="E183" s="58" t="s">
        <v>323</v>
      </c>
      <c r="F183" s="58" t="s">
        <v>326</v>
      </c>
      <c r="G183" s="58" t="s">
        <v>202</v>
      </c>
      <c r="H183" s="58" t="s">
        <v>217</v>
      </c>
      <c r="I183" s="58" t="s">
        <v>586</v>
      </c>
      <c r="J183" s="58" t="b">
        <f>COUNTIFS('3 Horários e seleção'!$H$6:$H$170,"☑",'3 Horários e seleção'!$J$6:$J$170,C183)&gt;0</f>
        <v>0</v>
      </c>
    </row>
    <row r="184" spans="1:10" ht="14.25" customHeight="1">
      <c r="A184" s="58">
        <v>47</v>
      </c>
      <c r="B184" s="58">
        <v>7</v>
      </c>
      <c r="C184" s="58" t="s">
        <v>361</v>
      </c>
      <c r="D184" s="58" t="s">
        <v>364</v>
      </c>
      <c r="E184" s="58" t="s">
        <v>305</v>
      </c>
      <c r="F184" s="58" t="s">
        <v>326</v>
      </c>
      <c r="G184" s="58" t="s">
        <v>202</v>
      </c>
      <c r="H184" s="58" t="s">
        <v>220</v>
      </c>
      <c r="I184" s="58" t="s">
        <v>587</v>
      </c>
      <c r="J184" s="58" t="b">
        <f>COUNTIFS('3 Horários e seleção'!$H$6:$H$170,"☑",'3 Horários e seleção'!$J$6:$J$170,C184)&gt;0</f>
        <v>0</v>
      </c>
    </row>
    <row r="185" spans="1:10" ht="14.25" customHeight="1">
      <c r="A185" s="58">
        <v>47</v>
      </c>
      <c r="B185" s="58">
        <v>7</v>
      </c>
      <c r="C185" s="58" t="s">
        <v>361</v>
      </c>
      <c r="D185" s="58" t="s">
        <v>364</v>
      </c>
      <c r="E185" s="58" t="s">
        <v>305</v>
      </c>
      <c r="F185" s="58" t="s">
        <v>326</v>
      </c>
      <c r="G185" s="58" t="s">
        <v>202</v>
      </c>
      <c r="H185" s="58" t="s">
        <v>225</v>
      </c>
      <c r="I185" s="58" t="s">
        <v>587</v>
      </c>
      <c r="J185" s="58" t="b">
        <f>COUNTIFS('3 Horários e seleção'!$H$6:$H$170,"☑",'3 Horários e seleção'!$J$6:$J$170,C185)&gt;0</f>
        <v>0</v>
      </c>
    </row>
    <row r="186" spans="1:10" ht="14.25" customHeight="1">
      <c r="A186" s="58">
        <v>50</v>
      </c>
      <c r="B186" s="58">
        <v>8</v>
      </c>
      <c r="C186" s="58" t="s">
        <v>371</v>
      </c>
      <c r="D186" s="58" t="s">
        <v>374</v>
      </c>
      <c r="E186" s="58" t="s">
        <v>367</v>
      </c>
      <c r="F186" s="58" t="s">
        <v>326</v>
      </c>
      <c r="G186" s="58" t="s">
        <v>198</v>
      </c>
      <c r="H186" s="58" t="s">
        <v>208</v>
      </c>
      <c r="I186" s="58" t="s">
        <v>590</v>
      </c>
      <c r="J186" s="58" t="b">
        <f>COUNTIFS('3 Horários e seleção'!$H$6:$H$170,"☑",'3 Horários e seleção'!$J$6:$J$170,C186)&gt;0</f>
        <v>0</v>
      </c>
    </row>
    <row r="187" spans="1:10" ht="14.25" customHeight="1">
      <c r="A187" s="58">
        <v>50</v>
      </c>
      <c r="B187" s="58">
        <v>8</v>
      </c>
      <c r="C187" s="58" t="s">
        <v>371</v>
      </c>
      <c r="D187" s="58" t="s">
        <v>374</v>
      </c>
      <c r="E187" s="58" t="s">
        <v>367</v>
      </c>
      <c r="F187" s="58" t="s">
        <v>326</v>
      </c>
      <c r="G187" s="58" t="s">
        <v>198</v>
      </c>
      <c r="H187" s="58" t="s">
        <v>217</v>
      </c>
      <c r="I187" s="58" t="s">
        <v>590</v>
      </c>
      <c r="J187" s="58" t="b">
        <f>COUNTIFS('3 Horários e seleção'!$H$6:$H$170,"☑",'3 Horários e seleção'!$J$6:$J$170,C187)&gt;0</f>
        <v>0</v>
      </c>
    </row>
    <row r="188" spans="1:10" ht="14.25" customHeight="1">
      <c r="A188" s="58">
        <v>55</v>
      </c>
      <c r="B188" s="58">
        <v>8</v>
      </c>
      <c r="C188" s="58" t="s">
        <v>372</v>
      </c>
      <c r="D188" s="58" t="s">
        <v>383</v>
      </c>
      <c r="E188" s="58" t="s">
        <v>358</v>
      </c>
      <c r="F188" s="58" t="s">
        <v>326</v>
      </c>
      <c r="G188" s="58" t="s">
        <v>198</v>
      </c>
      <c r="H188" s="58" t="s">
        <v>220</v>
      </c>
      <c r="I188" s="58" t="s">
        <v>591</v>
      </c>
      <c r="J188" s="58" t="b">
        <f>COUNTIFS('3 Horários e seleção'!$H$6:$H$170,"☑",'3 Horários e seleção'!$J$6:$J$170,C188)&gt;0</f>
        <v>0</v>
      </c>
    </row>
    <row r="189" spans="1:10" ht="14.25" customHeight="1">
      <c r="A189" s="58">
        <v>55</v>
      </c>
      <c r="B189" s="58">
        <v>8</v>
      </c>
      <c r="C189" s="58" t="s">
        <v>372</v>
      </c>
      <c r="D189" s="58" t="s">
        <v>383</v>
      </c>
      <c r="E189" s="58" t="s">
        <v>358</v>
      </c>
      <c r="F189" s="58" t="s">
        <v>326</v>
      </c>
      <c r="G189" s="58" t="s">
        <v>198</v>
      </c>
      <c r="H189" s="58" t="s">
        <v>225</v>
      </c>
      <c r="I189" s="58" t="s">
        <v>591</v>
      </c>
      <c r="J189" s="58" t="b">
        <f>COUNTIFS('3 Horários e seleção'!$H$6:$H$170,"☑",'3 Horários e seleção'!$J$6:$J$170,C189)&gt;0</f>
        <v>0</v>
      </c>
    </row>
    <row r="190" spans="1:10" ht="14.25" customHeight="1">
      <c r="A190" s="58">
        <v>68</v>
      </c>
      <c r="B190" s="58">
        <v>8</v>
      </c>
      <c r="C190" s="58" t="s">
        <v>384</v>
      </c>
      <c r="D190" s="58" t="s">
        <v>385</v>
      </c>
      <c r="E190" s="58" t="s">
        <v>295</v>
      </c>
      <c r="F190" s="58" t="s">
        <v>381</v>
      </c>
      <c r="G190" s="58" t="s">
        <v>198</v>
      </c>
      <c r="H190" s="58" t="s">
        <v>236</v>
      </c>
      <c r="I190" s="58" t="s">
        <v>592</v>
      </c>
      <c r="J190" s="58" t="b">
        <f>COUNTIFS('3 Horários e seleção'!$H$6:$H$170,"☑",'3 Horários e seleção'!$J$6:$J$170,C190)&gt;0</f>
        <v>0</v>
      </c>
    </row>
    <row r="191" spans="1:10" ht="14.25" customHeight="1">
      <c r="A191" s="58">
        <v>68</v>
      </c>
      <c r="B191" s="58">
        <v>8</v>
      </c>
      <c r="C191" s="58" t="s">
        <v>384</v>
      </c>
      <c r="D191" s="58" t="s">
        <v>385</v>
      </c>
      <c r="E191" s="58" t="s">
        <v>295</v>
      </c>
      <c r="F191" s="58" t="s">
        <v>381</v>
      </c>
      <c r="G191" s="58" t="s">
        <v>198</v>
      </c>
      <c r="H191" s="58" t="s">
        <v>237</v>
      </c>
      <c r="I191" s="58" t="s">
        <v>592</v>
      </c>
      <c r="J191" s="58" t="b">
        <f>COUNTIFS('3 Horários e seleção'!$H$6:$H$170,"☑",'3 Horários e seleção'!$J$6:$J$170,C191)&gt;0</f>
        <v>0</v>
      </c>
    </row>
    <row r="192" spans="1:10" ht="14.25" customHeight="1">
      <c r="A192" s="58">
        <v>68</v>
      </c>
      <c r="B192" s="58">
        <v>8</v>
      </c>
      <c r="C192" s="58" t="s">
        <v>384</v>
      </c>
      <c r="D192" s="58" t="s">
        <v>385</v>
      </c>
      <c r="E192" s="58" t="s">
        <v>295</v>
      </c>
      <c r="F192" s="58" t="s">
        <v>381</v>
      </c>
      <c r="G192" s="58" t="s">
        <v>198</v>
      </c>
      <c r="H192" s="58" t="s">
        <v>238</v>
      </c>
      <c r="I192" s="58" t="s">
        <v>592</v>
      </c>
      <c r="J192" s="58" t="b">
        <f>COUNTIFS('3 Horários e seleção'!$H$6:$H$170,"☑",'3 Horários e seleção'!$J$6:$J$170,C192)&gt;0</f>
        <v>0</v>
      </c>
    </row>
    <row r="193" spans="1:10" ht="14.25" customHeight="1">
      <c r="A193" s="58">
        <v>68</v>
      </c>
      <c r="B193" s="58">
        <v>8</v>
      </c>
      <c r="C193" s="58" t="s">
        <v>384</v>
      </c>
      <c r="D193" s="58" t="s">
        <v>385</v>
      </c>
      <c r="E193" s="58" t="s">
        <v>295</v>
      </c>
      <c r="F193" s="58" t="s">
        <v>381</v>
      </c>
      <c r="G193" s="58" t="s">
        <v>198</v>
      </c>
      <c r="H193" s="58" t="s">
        <v>239</v>
      </c>
      <c r="I193" s="58" t="s">
        <v>592</v>
      </c>
      <c r="J193" s="58" t="b">
        <f>COUNTIFS('3 Horários e seleção'!$H$6:$H$170,"☑",'3 Horários e seleção'!$J$6:$J$170,C193)&gt;0</f>
        <v>0</v>
      </c>
    </row>
    <row r="194" spans="1:10" ht="14.25" customHeight="1">
      <c r="A194" s="58">
        <v>55</v>
      </c>
      <c r="B194" s="58">
        <v>8</v>
      </c>
      <c r="C194" s="58" t="s">
        <v>372</v>
      </c>
      <c r="D194" s="58" t="s">
        <v>383</v>
      </c>
      <c r="E194" s="58" t="s">
        <v>358</v>
      </c>
      <c r="F194" s="58" t="s">
        <v>326</v>
      </c>
      <c r="G194" s="58" t="s">
        <v>199</v>
      </c>
      <c r="H194" s="58" t="s">
        <v>208</v>
      </c>
      <c r="I194" s="58" t="s">
        <v>591</v>
      </c>
      <c r="J194" s="58" t="b">
        <f>COUNTIFS('3 Horários e seleção'!$H$6:$H$170,"☑",'3 Horários e seleção'!$J$6:$J$170,C194)&gt;0</f>
        <v>0</v>
      </c>
    </row>
    <row r="195" spans="1:10" ht="14.25" customHeight="1">
      <c r="A195" s="58">
        <v>55</v>
      </c>
      <c r="B195" s="58">
        <v>8</v>
      </c>
      <c r="C195" s="58" t="s">
        <v>372</v>
      </c>
      <c r="D195" s="58" t="s">
        <v>383</v>
      </c>
      <c r="E195" s="58" t="s">
        <v>358</v>
      </c>
      <c r="F195" s="58" t="s">
        <v>326</v>
      </c>
      <c r="G195" s="58" t="s">
        <v>199</v>
      </c>
      <c r="H195" s="58" t="s">
        <v>217</v>
      </c>
      <c r="I195" s="58" t="s">
        <v>591</v>
      </c>
      <c r="J195" s="58" t="b">
        <f>COUNTIFS('3 Horários e seleção'!$H$6:$H$170,"☑",'3 Horários e seleção'!$J$6:$J$170,C195)&gt;0</f>
        <v>0</v>
      </c>
    </row>
    <row r="196" spans="1:10" ht="14.25" customHeight="1">
      <c r="A196" s="58">
        <v>51</v>
      </c>
      <c r="B196" s="58">
        <v>8</v>
      </c>
      <c r="C196" s="58" t="s">
        <v>375</v>
      </c>
      <c r="D196" s="58" t="s">
        <v>376</v>
      </c>
      <c r="E196" s="58" t="s">
        <v>215</v>
      </c>
      <c r="F196" s="58" t="s">
        <v>326</v>
      </c>
      <c r="G196" s="58" t="s">
        <v>199</v>
      </c>
      <c r="H196" s="58" t="s">
        <v>220</v>
      </c>
      <c r="I196" s="58" t="s">
        <v>593</v>
      </c>
      <c r="J196" s="58" t="b">
        <f>COUNTIFS('3 Horários e seleção'!$H$6:$H$170,"☑",'3 Horários e seleção'!$J$6:$J$170,C196)&gt;0</f>
        <v>0</v>
      </c>
    </row>
    <row r="197" spans="1:10" ht="14.25" customHeight="1">
      <c r="A197" s="58">
        <v>51</v>
      </c>
      <c r="B197" s="58">
        <v>8</v>
      </c>
      <c r="C197" s="58" t="s">
        <v>375</v>
      </c>
      <c r="D197" s="58" t="s">
        <v>376</v>
      </c>
      <c r="E197" s="58" t="s">
        <v>215</v>
      </c>
      <c r="F197" s="58" t="s">
        <v>326</v>
      </c>
      <c r="G197" s="58" t="s">
        <v>199</v>
      </c>
      <c r="H197" s="58" t="s">
        <v>225</v>
      </c>
      <c r="I197" s="58" t="s">
        <v>593</v>
      </c>
      <c r="J197" s="58" t="b">
        <f>COUNTIFS('3 Horários e seleção'!$H$6:$H$170,"☑",'3 Horários e seleção'!$J$6:$J$170,C197)&gt;0</f>
        <v>0</v>
      </c>
    </row>
    <row r="198" spans="1:10" ht="14.25" customHeight="1">
      <c r="A198" s="58">
        <v>54</v>
      </c>
      <c r="B198" s="58">
        <v>8</v>
      </c>
      <c r="C198" s="58" t="s">
        <v>373</v>
      </c>
      <c r="D198" s="58" t="s">
        <v>382</v>
      </c>
      <c r="E198" s="58" t="s">
        <v>367</v>
      </c>
      <c r="F198" s="58" t="s">
        <v>326</v>
      </c>
      <c r="G198" s="58" t="s">
        <v>199</v>
      </c>
      <c r="H198" s="58" t="s">
        <v>228</v>
      </c>
      <c r="I198" s="58" t="s">
        <v>594</v>
      </c>
      <c r="J198" s="58" t="b">
        <f>COUNTIFS('3 Horários e seleção'!$H$6:$H$170,"☑",'3 Horários e seleção'!$J$6:$J$170,C198)&gt;0</f>
        <v>0</v>
      </c>
    </row>
    <row r="199" spans="1:10" ht="14.25" customHeight="1">
      <c r="A199" s="58">
        <v>50</v>
      </c>
      <c r="B199" s="58">
        <v>8</v>
      </c>
      <c r="C199" s="58" t="s">
        <v>371</v>
      </c>
      <c r="D199" s="58" t="s">
        <v>374</v>
      </c>
      <c r="E199" s="58" t="s">
        <v>367</v>
      </c>
      <c r="F199" s="58" t="s">
        <v>326</v>
      </c>
      <c r="G199" s="58" t="s">
        <v>199</v>
      </c>
      <c r="H199" s="58" t="s">
        <v>232</v>
      </c>
      <c r="I199" s="58" t="s">
        <v>590</v>
      </c>
      <c r="J199" s="58" t="b">
        <f>COUNTIFS('3 Horários e seleção'!$H$6:$H$170,"☑",'3 Horários e seleção'!$J$6:$J$170,C199)&gt;0</f>
        <v>0</v>
      </c>
    </row>
    <row r="200" spans="1:10" ht="14.25" customHeight="1">
      <c r="A200" s="58">
        <v>51</v>
      </c>
      <c r="B200" s="58">
        <v>8</v>
      </c>
      <c r="C200" s="58" t="s">
        <v>375</v>
      </c>
      <c r="D200" s="58" t="s">
        <v>376</v>
      </c>
      <c r="E200" s="58" t="s">
        <v>215</v>
      </c>
      <c r="F200" s="58" t="s">
        <v>326</v>
      </c>
      <c r="G200" s="58" t="s">
        <v>200</v>
      </c>
      <c r="H200" s="58" t="s">
        <v>217</v>
      </c>
      <c r="I200" s="58" t="s">
        <v>593</v>
      </c>
      <c r="J200" s="58" t="b">
        <f>COUNTIFS('3 Horários e seleção'!$H$6:$H$170,"☑",'3 Horários e seleção'!$J$6:$J$170,C200)&gt;0</f>
        <v>0</v>
      </c>
    </row>
    <row r="201" spans="1:10" ht="14.25" customHeight="1">
      <c r="A201" s="58">
        <v>51</v>
      </c>
      <c r="B201" s="58">
        <v>8</v>
      </c>
      <c r="C201" s="58" t="s">
        <v>375</v>
      </c>
      <c r="D201" s="58" t="s">
        <v>376</v>
      </c>
      <c r="E201" s="58" t="s">
        <v>215</v>
      </c>
      <c r="F201" s="58" t="s">
        <v>326</v>
      </c>
      <c r="G201" s="58" t="s">
        <v>200</v>
      </c>
      <c r="H201" s="58" t="s">
        <v>220</v>
      </c>
      <c r="I201" s="58" t="s">
        <v>593</v>
      </c>
      <c r="J201" s="58" t="b">
        <f>COUNTIFS('3 Horários e seleção'!$H$6:$H$170,"☑",'3 Horários e seleção'!$J$6:$J$170,C201)&gt;0</f>
        <v>0</v>
      </c>
    </row>
    <row r="202" spans="1:10" ht="14.25" customHeight="1">
      <c r="A202" s="58">
        <v>51</v>
      </c>
      <c r="B202" s="58">
        <v>8</v>
      </c>
      <c r="C202" s="58" t="s">
        <v>375</v>
      </c>
      <c r="D202" s="58" t="s">
        <v>376</v>
      </c>
      <c r="E202" s="58" t="s">
        <v>215</v>
      </c>
      <c r="F202" s="58" t="s">
        <v>326</v>
      </c>
      <c r="G202" s="58" t="s">
        <v>200</v>
      </c>
      <c r="H202" s="58" t="s">
        <v>225</v>
      </c>
      <c r="I202" s="58" t="s">
        <v>593</v>
      </c>
      <c r="J202" s="58" t="b">
        <f>COUNTIFS('3 Horários e seleção'!$H$6:$H$170,"☑",'3 Horários e seleção'!$J$6:$J$170,C202)&gt;0</f>
        <v>0</v>
      </c>
    </row>
    <row r="203" spans="1:10" ht="14.25" customHeight="1">
      <c r="A203" s="58">
        <v>52</v>
      </c>
      <c r="B203" s="58">
        <v>8</v>
      </c>
      <c r="C203" s="58" t="s">
        <v>377</v>
      </c>
      <c r="D203" s="58" t="s">
        <v>378</v>
      </c>
      <c r="E203" s="58" t="s">
        <v>331</v>
      </c>
      <c r="F203" s="58" t="s">
        <v>326</v>
      </c>
      <c r="G203" s="58" t="s">
        <v>200</v>
      </c>
      <c r="H203" s="58" t="s">
        <v>228</v>
      </c>
      <c r="I203" s="58" t="s">
        <v>595</v>
      </c>
      <c r="J203" s="58" t="b">
        <f>COUNTIFS('3 Horários e seleção'!$H$6:$H$170,"☑",'3 Horários e seleção'!$J$6:$J$170,C203)&gt;0</f>
        <v>0</v>
      </c>
    </row>
    <row r="204" spans="1:10" ht="14.25" customHeight="1">
      <c r="A204" s="58">
        <v>52</v>
      </c>
      <c r="B204" s="58">
        <v>8</v>
      </c>
      <c r="C204" s="58" t="s">
        <v>377</v>
      </c>
      <c r="D204" s="58" t="s">
        <v>378</v>
      </c>
      <c r="E204" s="58" t="s">
        <v>331</v>
      </c>
      <c r="F204" s="58" t="s">
        <v>326</v>
      </c>
      <c r="G204" s="58" t="s">
        <v>200</v>
      </c>
      <c r="H204" s="58" t="s">
        <v>232</v>
      </c>
      <c r="I204" s="58" t="s">
        <v>595</v>
      </c>
      <c r="J204" s="58" t="b">
        <f>COUNTIFS('3 Horários e seleção'!$H$6:$H$170,"☑",'3 Horários e seleção'!$J$6:$J$170,C204)&gt;0</f>
        <v>0</v>
      </c>
    </row>
    <row r="205" spans="1:10" ht="14.25" customHeight="1">
      <c r="A205" s="58">
        <v>54</v>
      </c>
      <c r="B205" s="58">
        <v>8</v>
      </c>
      <c r="C205" s="58" t="s">
        <v>373</v>
      </c>
      <c r="D205" s="58" t="s">
        <v>382</v>
      </c>
      <c r="E205" s="58" t="s">
        <v>367</v>
      </c>
      <c r="F205" s="58" t="s">
        <v>326</v>
      </c>
      <c r="G205" s="58" t="s">
        <v>201</v>
      </c>
      <c r="H205" s="58" t="s">
        <v>208</v>
      </c>
      <c r="I205" s="58" t="s">
        <v>594</v>
      </c>
      <c r="J205" s="58" t="b">
        <f>COUNTIFS('3 Horários e seleção'!$H$6:$H$170,"☑",'3 Horários e seleção'!$J$6:$J$170,C205)&gt;0</f>
        <v>0</v>
      </c>
    </row>
    <row r="206" spans="1:10" ht="14.25" customHeight="1">
      <c r="A206" s="58">
        <v>54</v>
      </c>
      <c r="B206" s="58">
        <v>8</v>
      </c>
      <c r="C206" s="58" t="s">
        <v>373</v>
      </c>
      <c r="D206" s="58" t="s">
        <v>382</v>
      </c>
      <c r="E206" s="58" t="s">
        <v>367</v>
      </c>
      <c r="F206" s="58" t="s">
        <v>326</v>
      </c>
      <c r="G206" s="58" t="s">
        <v>201</v>
      </c>
      <c r="H206" s="58" t="s">
        <v>217</v>
      </c>
      <c r="I206" s="58" t="s">
        <v>594</v>
      </c>
      <c r="J206" s="58" t="b">
        <f>COUNTIFS('3 Horários e seleção'!$H$6:$H$170,"☑",'3 Horários e seleção'!$J$6:$J$170,C206)&gt;0</f>
        <v>0</v>
      </c>
    </row>
    <row r="207" spans="1:10" ht="14.25" customHeight="1">
      <c r="A207" s="58">
        <v>54</v>
      </c>
      <c r="B207" s="58">
        <v>8</v>
      </c>
      <c r="C207" s="58" t="s">
        <v>373</v>
      </c>
      <c r="D207" s="58" t="s">
        <v>382</v>
      </c>
      <c r="E207" s="58" t="s">
        <v>367</v>
      </c>
      <c r="F207" s="58" t="s">
        <v>326</v>
      </c>
      <c r="G207" s="58" t="s">
        <v>201</v>
      </c>
      <c r="H207" s="58" t="s">
        <v>220</v>
      </c>
      <c r="I207" s="58" t="s">
        <v>594</v>
      </c>
      <c r="J207" s="58" t="b">
        <f>COUNTIFS('3 Horários e seleção'!$H$6:$H$170,"☑",'3 Horários e seleção'!$J$6:$J$170,C207)&gt;0</f>
        <v>0</v>
      </c>
    </row>
    <row r="208" spans="1:10" ht="14.25" customHeight="1">
      <c r="A208" s="58">
        <v>53</v>
      </c>
      <c r="B208" s="58">
        <v>8</v>
      </c>
      <c r="C208" s="58" t="s">
        <v>379</v>
      </c>
      <c r="D208" s="58" t="s">
        <v>380</v>
      </c>
      <c r="E208" s="58" t="s">
        <v>345</v>
      </c>
      <c r="F208" s="58" t="s">
        <v>381</v>
      </c>
      <c r="G208" s="58" t="s">
        <v>201</v>
      </c>
      <c r="H208" s="58" t="s">
        <v>225</v>
      </c>
      <c r="I208" s="58" t="s">
        <v>596</v>
      </c>
      <c r="J208" s="58" t="b">
        <f>COUNTIFS('3 Horários e seleção'!$H$6:$H$170,"☑",'3 Horários e seleção'!$J$6:$J$170,C208)&gt;0</f>
        <v>0</v>
      </c>
    </row>
    <row r="209" spans="1:10" ht="14.25" customHeight="1">
      <c r="A209" s="58">
        <v>53</v>
      </c>
      <c r="B209" s="58">
        <v>8</v>
      </c>
      <c r="C209" s="58" t="s">
        <v>379</v>
      </c>
      <c r="D209" s="58" t="s">
        <v>380</v>
      </c>
      <c r="E209" s="58" t="s">
        <v>345</v>
      </c>
      <c r="F209" s="58" t="s">
        <v>381</v>
      </c>
      <c r="G209" s="58" t="s">
        <v>201</v>
      </c>
      <c r="H209" s="58" t="s">
        <v>228</v>
      </c>
      <c r="I209" s="58" t="s">
        <v>596</v>
      </c>
      <c r="J209" s="58" t="b">
        <f>COUNTIFS('3 Horários e seleção'!$H$6:$H$170,"☑",'3 Horários e seleção'!$J$6:$J$170,C209)&gt;0</f>
        <v>0</v>
      </c>
    </row>
    <row r="210" spans="1:10" ht="14.25" customHeight="1">
      <c r="A210" s="58">
        <v>53</v>
      </c>
      <c r="B210" s="58">
        <v>8</v>
      </c>
      <c r="C210" s="58" t="s">
        <v>379</v>
      </c>
      <c r="D210" s="58" t="s">
        <v>380</v>
      </c>
      <c r="E210" s="58" t="s">
        <v>345</v>
      </c>
      <c r="F210" s="58" t="s">
        <v>381</v>
      </c>
      <c r="G210" s="58" t="s">
        <v>201</v>
      </c>
      <c r="H210" s="58" t="s">
        <v>232</v>
      </c>
      <c r="I210" s="58" t="s">
        <v>596</v>
      </c>
      <c r="J210" s="58" t="b">
        <f>COUNTIFS('3 Horários e seleção'!$H$6:$H$170,"☑",'3 Horários e seleção'!$J$6:$J$170,C210)&gt;0</f>
        <v>0</v>
      </c>
    </row>
    <row r="211" spans="1:10" ht="14.25" customHeight="1">
      <c r="A211" s="58">
        <v>69</v>
      </c>
      <c r="B211" s="58">
        <v>9</v>
      </c>
      <c r="C211" s="58" t="s">
        <v>387</v>
      </c>
      <c r="D211" s="58" t="s">
        <v>403</v>
      </c>
      <c r="E211" s="58" t="s">
        <v>323</v>
      </c>
      <c r="F211" s="58" t="s">
        <v>404</v>
      </c>
      <c r="G211" s="58" t="s">
        <v>198</v>
      </c>
      <c r="H211" s="58" t="s">
        <v>208</v>
      </c>
      <c r="I211" s="58" t="s">
        <v>597</v>
      </c>
      <c r="J211" s="58" t="b">
        <f>COUNTIFS('3 Horários e seleção'!$H$6:$H$170,"☑",'3 Horários e seleção'!$J$6:$J$170,C211)&gt;0</f>
        <v>0</v>
      </c>
    </row>
    <row r="212" spans="1:10" ht="14.25" customHeight="1">
      <c r="A212" s="58">
        <v>69</v>
      </c>
      <c r="B212" s="58">
        <v>9</v>
      </c>
      <c r="C212" s="58" t="s">
        <v>387</v>
      </c>
      <c r="D212" s="58" t="s">
        <v>403</v>
      </c>
      <c r="E212" s="58" t="s">
        <v>323</v>
      </c>
      <c r="F212" s="58" t="s">
        <v>404</v>
      </c>
      <c r="G212" s="58" t="s">
        <v>198</v>
      </c>
      <c r="H212" s="58" t="s">
        <v>217</v>
      </c>
      <c r="I212" s="58" t="s">
        <v>597</v>
      </c>
      <c r="J212" s="58" t="b">
        <f>COUNTIFS('3 Horários e seleção'!$H$6:$H$170,"☑",'3 Horários e seleção'!$J$6:$J$170,C212)&gt;0</f>
        <v>0</v>
      </c>
    </row>
    <row r="213" spans="1:10" ht="14.25" customHeight="1">
      <c r="A213" s="58">
        <v>69</v>
      </c>
      <c r="B213" s="58">
        <v>9</v>
      </c>
      <c r="C213" s="58" t="s">
        <v>387</v>
      </c>
      <c r="D213" s="58" t="s">
        <v>403</v>
      </c>
      <c r="E213" s="58" t="s">
        <v>323</v>
      </c>
      <c r="F213" s="58" t="s">
        <v>404</v>
      </c>
      <c r="G213" s="58" t="s">
        <v>198</v>
      </c>
      <c r="H213" s="58" t="s">
        <v>220</v>
      </c>
      <c r="I213" s="58" t="s">
        <v>597</v>
      </c>
      <c r="J213" s="58" t="b">
        <f>COUNTIFS('3 Horários e seleção'!$H$6:$H$170,"☑",'3 Horários e seleção'!$J$6:$J$170,C213)&gt;0</f>
        <v>0</v>
      </c>
    </row>
    <row r="214" spans="1:10" ht="14.25" customHeight="1">
      <c r="A214" s="58">
        <v>69</v>
      </c>
      <c r="B214" s="58">
        <v>9</v>
      </c>
      <c r="C214" s="58" t="s">
        <v>387</v>
      </c>
      <c r="D214" s="58" t="s">
        <v>403</v>
      </c>
      <c r="E214" s="58" t="s">
        <v>323</v>
      </c>
      <c r="F214" s="58" t="s">
        <v>404</v>
      </c>
      <c r="G214" s="58" t="s">
        <v>198</v>
      </c>
      <c r="H214" s="58" t="s">
        <v>225</v>
      </c>
      <c r="I214" s="58" t="s">
        <v>597</v>
      </c>
      <c r="J214" s="58" t="b">
        <f>COUNTIFS('3 Horários e seleção'!$H$6:$H$170,"☑",'3 Horários e seleção'!$J$6:$J$170,C214)&gt;0</f>
        <v>0</v>
      </c>
    </row>
    <row r="215" spans="1:10" ht="14.25" customHeight="1">
      <c r="A215" s="58">
        <v>69</v>
      </c>
      <c r="B215" s="58">
        <v>9</v>
      </c>
      <c r="C215" s="58" t="s">
        <v>387</v>
      </c>
      <c r="D215" s="58" t="s">
        <v>403</v>
      </c>
      <c r="E215" s="58" t="s">
        <v>323</v>
      </c>
      <c r="F215" s="58" t="s">
        <v>404</v>
      </c>
      <c r="G215" s="58" t="s">
        <v>198</v>
      </c>
      <c r="H215" s="58" t="s">
        <v>228</v>
      </c>
      <c r="I215" s="58" t="s">
        <v>597</v>
      </c>
      <c r="J215" s="58" t="b">
        <f>COUNTIFS('3 Horários e seleção'!$H$6:$H$170,"☑",'3 Horários e seleção'!$J$6:$J$170,C215)&gt;0</f>
        <v>0</v>
      </c>
    </row>
    <row r="216" spans="1:10" ht="14.25" customHeight="1">
      <c r="A216" s="58">
        <v>69</v>
      </c>
      <c r="B216" s="58">
        <v>9</v>
      </c>
      <c r="C216" s="58" t="s">
        <v>387</v>
      </c>
      <c r="D216" s="58" t="s">
        <v>403</v>
      </c>
      <c r="E216" s="58" t="s">
        <v>323</v>
      </c>
      <c r="F216" s="58" t="s">
        <v>404</v>
      </c>
      <c r="G216" s="58" t="s">
        <v>198</v>
      </c>
      <c r="H216" s="58" t="s">
        <v>232</v>
      </c>
      <c r="I216" s="58" t="s">
        <v>597</v>
      </c>
      <c r="J216" s="58" t="b">
        <f>COUNTIFS('3 Horários e seleção'!$H$6:$H$170,"☑",'3 Horários e seleção'!$J$6:$J$170,C216)&gt;0</f>
        <v>0</v>
      </c>
    </row>
    <row r="217" spans="1:10" ht="14.25" customHeight="1">
      <c r="A217" s="58">
        <v>57</v>
      </c>
      <c r="B217" s="58">
        <v>9</v>
      </c>
      <c r="C217" s="58" t="s">
        <v>388</v>
      </c>
      <c r="D217" s="58" t="s">
        <v>394</v>
      </c>
      <c r="E217" s="58" t="s">
        <v>395</v>
      </c>
      <c r="F217" s="58" t="s">
        <v>393</v>
      </c>
      <c r="G217" s="58" t="s">
        <v>199</v>
      </c>
      <c r="H217" s="58" t="s">
        <v>208</v>
      </c>
      <c r="I217" s="58" t="s">
        <v>598</v>
      </c>
      <c r="J217" s="58" t="b">
        <f>COUNTIFS('3 Horários e seleção'!$H$6:$H$170,"☑",'3 Horários e seleção'!$J$6:$J$170,C217)&gt;0</f>
        <v>0</v>
      </c>
    </row>
    <row r="218" spans="1:10" ht="14.25" customHeight="1">
      <c r="A218" s="58">
        <v>57</v>
      </c>
      <c r="B218" s="58">
        <v>9</v>
      </c>
      <c r="C218" s="58" t="s">
        <v>388</v>
      </c>
      <c r="D218" s="58" t="s">
        <v>394</v>
      </c>
      <c r="E218" s="58" t="s">
        <v>395</v>
      </c>
      <c r="F218" s="58" t="s">
        <v>393</v>
      </c>
      <c r="G218" s="58" t="s">
        <v>199</v>
      </c>
      <c r="H218" s="58" t="s">
        <v>217</v>
      </c>
      <c r="I218" s="58" t="s">
        <v>598</v>
      </c>
      <c r="J218" s="58" t="b">
        <f>COUNTIFS('3 Horários e seleção'!$H$6:$H$170,"☑",'3 Horários e seleção'!$J$6:$J$170,C218)&gt;0</f>
        <v>0</v>
      </c>
    </row>
    <row r="219" spans="1:10" ht="14.25" customHeight="1">
      <c r="A219" s="58">
        <v>57</v>
      </c>
      <c r="B219" s="58">
        <v>9</v>
      </c>
      <c r="C219" s="58" t="s">
        <v>388</v>
      </c>
      <c r="D219" s="58" t="s">
        <v>394</v>
      </c>
      <c r="E219" s="58" t="s">
        <v>395</v>
      </c>
      <c r="F219" s="58" t="s">
        <v>393</v>
      </c>
      <c r="G219" s="58" t="s">
        <v>199</v>
      </c>
      <c r="H219" s="58" t="s">
        <v>220</v>
      </c>
      <c r="I219" s="58" t="s">
        <v>598</v>
      </c>
      <c r="J219" s="58" t="b">
        <f>COUNTIFS('3 Horários e seleção'!$H$6:$H$170,"☑",'3 Horários e seleção'!$J$6:$J$170,C219)&gt;0</f>
        <v>0</v>
      </c>
    </row>
    <row r="220" spans="1:10" ht="14.25" customHeight="1">
      <c r="A220" s="58">
        <v>60</v>
      </c>
      <c r="B220" s="58">
        <v>9</v>
      </c>
      <c r="C220" s="58" t="s">
        <v>398</v>
      </c>
      <c r="D220" s="58" t="s">
        <v>402</v>
      </c>
      <c r="E220" s="58" t="s">
        <v>395</v>
      </c>
      <c r="F220" s="58" t="s">
        <v>393</v>
      </c>
      <c r="G220" s="58" t="s">
        <v>199</v>
      </c>
      <c r="H220" s="58" t="s">
        <v>225</v>
      </c>
      <c r="I220" s="58" t="s">
        <v>599</v>
      </c>
      <c r="J220" s="58" t="b">
        <f>COUNTIFS('3 Horários e seleção'!$H$6:$H$170,"☑",'3 Horários e seleção'!$J$6:$J$170,C220)&gt;0</f>
        <v>0</v>
      </c>
    </row>
    <row r="221" spans="1:10" ht="14.25" customHeight="1">
      <c r="A221" s="58">
        <v>60</v>
      </c>
      <c r="B221" s="58">
        <v>9</v>
      </c>
      <c r="C221" s="58" t="s">
        <v>398</v>
      </c>
      <c r="D221" s="58" t="s">
        <v>402</v>
      </c>
      <c r="E221" s="58" t="s">
        <v>395</v>
      </c>
      <c r="F221" s="58" t="s">
        <v>393</v>
      </c>
      <c r="G221" s="58" t="s">
        <v>199</v>
      </c>
      <c r="H221" s="58" t="s">
        <v>228</v>
      </c>
      <c r="I221" s="58" t="s">
        <v>599</v>
      </c>
      <c r="J221" s="58" t="b">
        <f>COUNTIFS('3 Horários e seleção'!$H$6:$H$170,"☑",'3 Horários e seleção'!$J$6:$J$170,C221)&gt;0</f>
        <v>0</v>
      </c>
    </row>
    <row r="222" spans="1:10" ht="14.25" customHeight="1">
      <c r="A222" s="58">
        <v>60</v>
      </c>
      <c r="B222" s="58">
        <v>9</v>
      </c>
      <c r="C222" s="58" t="s">
        <v>398</v>
      </c>
      <c r="D222" s="58" t="s">
        <v>402</v>
      </c>
      <c r="E222" s="58" t="s">
        <v>395</v>
      </c>
      <c r="F222" s="58" t="s">
        <v>393</v>
      </c>
      <c r="G222" s="58" t="s">
        <v>199</v>
      </c>
      <c r="H222" s="58" t="s">
        <v>232</v>
      </c>
      <c r="I222" s="58" t="s">
        <v>599</v>
      </c>
      <c r="J222" s="58" t="b">
        <f>COUNTIFS('3 Horários e seleção'!$H$6:$H$170,"☑",'3 Horários e seleção'!$J$6:$J$170,C222)&gt;0</f>
        <v>0</v>
      </c>
    </row>
    <row r="223" spans="1:10" ht="14.25" customHeight="1">
      <c r="A223" s="58">
        <v>58</v>
      </c>
      <c r="B223" s="58">
        <v>9</v>
      </c>
      <c r="C223" s="58" t="s">
        <v>389</v>
      </c>
      <c r="D223" s="58" t="s">
        <v>396</v>
      </c>
      <c r="E223" s="58" t="s">
        <v>397</v>
      </c>
      <c r="F223" s="58" t="s">
        <v>393</v>
      </c>
      <c r="G223" s="58" t="s">
        <v>200</v>
      </c>
      <c r="H223" s="58" t="s">
        <v>208</v>
      </c>
      <c r="I223" s="58" t="s">
        <v>600</v>
      </c>
      <c r="J223" s="58" t="b">
        <f>COUNTIFS('3 Horários e seleção'!$H$6:$H$170,"☑",'3 Horários e seleção'!$J$6:$J$170,C223)&gt;0</f>
        <v>0</v>
      </c>
    </row>
    <row r="224" spans="1:10" ht="14.25" customHeight="1">
      <c r="A224" s="58">
        <v>58</v>
      </c>
      <c r="B224" s="58">
        <v>9</v>
      </c>
      <c r="C224" s="58" t="s">
        <v>389</v>
      </c>
      <c r="D224" s="58" t="s">
        <v>396</v>
      </c>
      <c r="E224" s="58" t="s">
        <v>397</v>
      </c>
      <c r="F224" s="58" t="s">
        <v>393</v>
      </c>
      <c r="G224" s="58" t="s">
        <v>200</v>
      </c>
      <c r="H224" s="58" t="s">
        <v>217</v>
      </c>
      <c r="I224" s="58" t="s">
        <v>600</v>
      </c>
      <c r="J224" s="58" t="b">
        <f>COUNTIFS('3 Horários e seleção'!$H$6:$H$170,"☑",'3 Horários e seleção'!$J$6:$J$170,C224)&gt;0</f>
        <v>0</v>
      </c>
    </row>
    <row r="225" spans="1:10" ht="14.25" customHeight="1">
      <c r="A225" s="58">
        <v>58</v>
      </c>
      <c r="B225" s="58">
        <v>9</v>
      </c>
      <c r="C225" s="58" t="s">
        <v>389</v>
      </c>
      <c r="D225" s="58" t="s">
        <v>396</v>
      </c>
      <c r="E225" s="58" t="s">
        <v>397</v>
      </c>
      <c r="F225" s="58" t="s">
        <v>393</v>
      </c>
      <c r="G225" s="58" t="s">
        <v>200</v>
      </c>
      <c r="H225" s="58" t="s">
        <v>220</v>
      </c>
      <c r="I225" s="58" t="s">
        <v>600</v>
      </c>
      <c r="J225" s="58" t="b">
        <f>COUNTIFS('3 Horários e seleção'!$H$6:$H$170,"☑",'3 Horários e seleção'!$J$6:$J$170,C225)&gt;0</f>
        <v>0</v>
      </c>
    </row>
    <row r="226" spans="1:10" ht="14.25" customHeight="1">
      <c r="A226" s="58">
        <v>58</v>
      </c>
      <c r="B226" s="58">
        <v>9</v>
      </c>
      <c r="C226" s="58" t="s">
        <v>389</v>
      </c>
      <c r="D226" s="58" t="s">
        <v>396</v>
      </c>
      <c r="E226" s="58" t="s">
        <v>397</v>
      </c>
      <c r="F226" s="58" t="s">
        <v>393</v>
      </c>
      <c r="G226" s="58" t="s">
        <v>200</v>
      </c>
      <c r="H226" s="58" t="s">
        <v>225</v>
      </c>
      <c r="I226" s="58" t="s">
        <v>600</v>
      </c>
      <c r="J226" s="58" t="b">
        <f>COUNTIFS('3 Horários e seleção'!$H$6:$H$170,"☑",'3 Horários e seleção'!$J$6:$J$170,C226)&gt;0</f>
        <v>0</v>
      </c>
    </row>
    <row r="227" spans="1:10" ht="14.25" customHeight="1">
      <c r="A227" s="58">
        <v>56</v>
      </c>
      <c r="B227" s="58">
        <v>9</v>
      </c>
      <c r="C227" s="58" t="s">
        <v>391</v>
      </c>
      <c r="D227" s="58" t="s">
        <v>392</v>
      </c>
      <c r="E227" s="58" t="s">
        <v>215</v>
      </c>
      <c r="F227" s="58" t="s">
        <v>393</v>
      </c>
      <c r="G227" s="58" t="s">
        <v>201</v>
      </c>
      <c r="H227" s="58" t="s">
        <v>220</v>
      </c>
      <c r="I227" s="58" t="s">
        <v>601</v>
      </c>
      <c r="J227" s="58" t="b">
        <f>COUNTIFS('3 Horários e seleção'!$H$6:$H$170,"☑",'3 Horários e seleção'!$J$6:$J$170,C227)&gt;0</f>
        <v>0</v>
      </c>
    </row>
    <row r="228" spans="1:10" ht="14.25" customHeight="1">
      <c r="A228" s="58">
        <v>56</v>
      </c>
      <c r="B228" s="58">
        <v>9</v>
      </c>
      <c r="C228" s="58" t="s">
        <v>391</v>
      </c>
      <c r="D228" s="58" t="s">
        <v>392</v>
      </c>
      <c r="E228" s="58" t="s">
        <v>215</v>
      </c>
      <c r="F228" s="58" t="s">
        <v>393</v>
      </c>
      <c r="G228" s="58" t="s">
        <v>201</v>
      </c>
      <c r="H228" s="58" t="s">
        <v>225</v>
      </c>
      <c r="I228" s="58" t="s">
        <v>601</v>
      </c>
      <c r="J228" s="58" t="b">
        <f>COUNTIFS('3 Horários e seleção'!$H$6:$H$170,"☑",'3 Horários e seleção'!$J$6:$J$170,C228)&gt;0</f>
        <v>0</v>
      </c>
    </row>
    <row r="229" spans="1:10" ht="14.25" customHeight="1">
      <c r="A229" s="58">
        <v>59</v>
      </c>
      <c r="B229" s="58">
        <v>9</v>
      </c>
      <c r="C229" s="58" t="s">
        <v>390</v>
      </c>
      <c r="D229" s="58" t="s">
        <v>399</v>
      </c>
      <c r="E229" s="58" t="s">
        <v>400</v>
      </c>
      <c r="F229" s="58" t="s">
        <v>401</v>
      </c>
      <c r="G229" s="58" t="s">
        <v>202</v>
      </c>
      <c r="H229" s="58" t="s">
        <v>208</v>
      </c>
      <c r="I229" s="58" t="s">
        <v>602</v>
      </c>
      <c r="J229" s="58" t="b">
        <f>COUNTIFS('3 Horários e seleção'!$H$6:$H$170,"☑",'3 Horários e seleção'!$J$6:$J$170,C229)&gt;0</f>
        <v>0</v>
      </c>
    </row>
    <row r="230" spans="1:10" ht="14.25" customHeight="1">
      <c r="A230" s="58">
        <v>59</v>
      </c>
      <c r="B230" s="58">
        <v>9</v>
      </c>
      <c r="C230" s="58" t="s">
        <v>390</v>
      </c>
      <c r="D230" s="58" t="s">
        <v>399</v>
      </c>
      <c r="E230" s="58" t="s">
        <v>400</v>
      </c>
      <c r="F230" s="58" t="s">
        <v>401</v>
      </c>
      <c r="G230" s="58" t="s">
        <v>202</v>
      </c>
      <c r="H230" s="58" t="s">
        <v>217</v>
      </c>
      <c r="I230" s="58" t="s">
        <v>602</v>
      </c>
      <c r="J230" s="58" t="b">
        <f>COUNTIFS('3 Horários e seleção'!$H$6:$H$170,"☑",'3 Horários e seleção'!$J$6:$J$170,C230)&gt;0</f>
        <v>0</v>
      </c>
    </row>
    <row r="231" spans="1:10" ht="14.25" customHeight="1">
      <c r="A231" s="58">
        <v>59</v>
      </c>
      <c r="B231" s="58">
        <v>9</v>
      </c>
      <c r="C231" s="58" t="s">
        <v>390</v>
      </c>
      <c r="D231" s="58" t="s">
        <v>399</v>
      </c>
      <c r="E231" s="58" t="s">
        <v>400</v>
      </c>
      <c r="F231" s="58" t="s">
        <v>401</v>
      </c>
      <c r="G231" s="58" t="s">
        <v>202</v>
      </c>
      <c r="H231" s="58" t="s">
        <v>220</v>
      </c>
      <c r="I231" s="58" t="s">
        <v>602</v>
      </c>
      <c r="J231" s="58" t="b">
        <f>COUNTIFS('3 Horários e seleção'!$H$6:$H$170,"☑",'3 Horários e seleção'!$J$6:$J$170,C231)&gt;0</f>
        <v>0</v>
      </c>
    </row>
    <row r="232" spans="1:10" ht="14.25" customHeight="1">
      <c r="A232" s="58">
        <v>61</v>
      </c>
      <c r="B232" s="58" t="s">
        <v>603</v>
      </c>
      <c r="C232" s="58" t="s">
        <v>407</v>
      </c>
      <c r="D232" s="58" t="s">
        <v>408</v>
      </c>
      <c r="E232" s="58" t="s">
        <v>397</v>
      </c>
      <c r="F232" s="58" t="s">
        <v>401</v>
      </c>
      <c r="G232" s="58" t="s">
        <v>198</v>
      </c>
      <c r="H232" s="58" t="s">
        <v>208</v>
      </c>
      <c r="I232" s="58" t="s">
        <v>604</v>
      </c>
      <c r="J232" s="58" t="b">
        <f>COUNTIFS('3 Horários e seleção'!$H$6:$H$170,"☑",'3 Horários e seleção'!$J$6:$J$170,C232)&gt;0</f>
        <v>0</v>
      </c>
    </row>
    <row r="233" spans="1:10" ht="14.25" customHeight="1">
      <c r="A233" s="58">
        <v>61</v>
      </c>
      <c r="B233" s="58" t="s">
        <v>603</v>
      </c>
      <c r="C233" s="58" t="s">
        <v>407</v>
      </c>
      <c r="D233" s="58" t="s">
        <v>408</v>
      </c>
      <c r="E233" s="58" t="s">
        <v>397</v>
      </c>
      <c r="F233" s="58" t="s">
        <v>401</v>
      </c>
      <c r="G233" s="58" t="s">
        <v>198</v>
      </c>
      <c r="H233" s="58" t="s">
        <v>217</v>
      </c>
      <c r="I233" s="58" t="s">
        <v>604</v>
      </c>
      <c r="J233" s="58" t="b">
        <f>COUNTIFS('3 Horários e seleção'!$H$6:$H$170,"☑",'3 Horários e seleção'!$J$6:$J$170,C233)&gt;0</f>
        <v>0</v>
      </c>
    </row>
    <row r="234" spans="1:10" ht="14.25" customHeight="1">
      <c r="A234" s="58">
        <v>61</v>
      </c>
      <c r="B234" s="58" t="s">
        <v>603</v>
      </c>
      <c r="C234" s="58" t="s">
        <v>407</v>
      </c>
      <c r="D234" s="58" t="s">
        <v>408</v>
      </c>
      <c r="E234" s="58" t="s">
        <v>397</v>
      </c>
      <c r="F234" s="58" t="s">
        <v>401</v>
      </c>
      <c r="G234" s="58" t="s">
        <v>198</v>
      </c>
      <c r="H234" s="58" t="s">
        <v>220</v>
      </c>
      <c r="I234" s="58" t="s">
        <v>604</v>
      </c>
      <c r="J234" s="58" t="b">
        <f>COUNTIFS('3 Horários e seleção'!$H$6:$H$170,"☑",'3 Horários e seleção'!$J$6:$J$170,C234)&gt;0</f>
        <v>0</v>
      </c>
    </row>
    <row r="235" spans="1:10" ht="14.25" customHeight="1">
      <c r="A235" s="58">
        <v>61</v>
      </c>
      <c r="B235" s="58" t="s">
        <v>603</v>
      </c>
      <c r="C235" s="58" t="s">
        <v>407</v>
      </c>
      <c r="D235" s="58" t="s">
        <v>408</v>
      </c>
      <c r="E235" s="58" t="s">
        <v>397</v>
      </c>
      <c r="F235" s="58" t="s">
        <v>401</v>
      </c>
      <c r="G235" s="58" t="s">
        <v>198</v>
      </c>
      <c r="H235" s="58" t="s">
        <v>225</v>
      </c>
      <c r="I235" s="58" t="s">
        <v>604</v>
      </c>
      <c r="J235" s="58" t="b">
        <f>COUNTIFS('3 Horários e seleção'!$H$6:$H$170,"☑",'3 Horários e seleção'!$J$6:$J$170,C235)&gt;0</f>
        <v>0</v>
      </c>
    </row>
  </sheetData>
  <mergeCells count="2">
    <mergeCell ref="A1:J2"/>
    <mergeCell ref="A3:J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</vt:i4>
      </vt:variant>
    </vt:vector>
  </HeadingPairs>
  <TitlesOfParts>
    <vt:vector size="8" baseType="lpstr">
      <vt:lpstr>Instruções</vt:lpstr>
      <vt:lpstr>1 Fluxograma</vt:lpstr>
      <vt:lpstr>2 Consulta</vt:lpstr>
      <vt:lpstr>3 Horários e seleção</vt:lpstr>
      <vt:lpstr>4 Meu horário</vt:lpstr>
      <vt:lpstr>Base de dados</vt:lpstr>
      <vt:lpstr>Base horários</vt:lpstr>
      <vt:lpstr>'4 Meu horário'!Area_de_impressao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Costa Ramos</cp:lastModifiedBy>
  <cp:lastPrinted>2026-08-01T13:26:32Z</cp:lastPrinted>
  <dcterms:created xsi:type="dcterms:W3CDTF">2026-08-01T13:20:24Z</dcterms:created>
  <dcterms:modified xsi:type="dcterms:W3CDTF">2026-08-01T14:17:59Z</dcterms:modified>
</cp:coreProperties>
</file>